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Matt\Documents\MIS301(H)\"/>
    </mc:Choice>
  </mc:AlternateContent>
  <bookViews>
    <workbookView xWindow="0" yWindow="0" windowWidth="19200" windowHeight="7008" activeTab="2"/>
  </bookViews>
  <sheets>
    <sheet name="DataAnalysisTask1" sheetId="9" r:id="rId1"/>
    <sheet name="Task 1" sheetId="7" r:id="rId2"/>
    <sheet name="Task 2" sheetId="3" r:id="rId3"/>
    <sheet name="Task 3" sheetId="8" r:id="rId4"/>
  </sheets>
  <definedNames>
    <definedName name="_xlchart.v1.0" hidden="1">'Task 1'!$J$8:$J$43</definedName>
    <definedName name="_xlchart.v1.1" hidden="1">'Task 1'!$J$8:$J$43</definedName>
    <definedName name="_xlchart.v1.2" hidden="1">'Task 1'!$Q$8:$Q$17</definedName>
    <definedName name="_xlchart.v1.3" hidden="1">'Task 1'!$J$8:$J$43</definedName>
    <definedName name="solver_adj" localSheetId="1" hidden="1">'Task 1'!$Q$16:$Q$17</definedName>
    <definedName name="solver_cvg" localSheetId="1" hidden="1">0.0001</definedName>
    <definedName name="solver_drv" localSheetId="1" hidden="1">1</definedName>
    <definedName name="solver_est" localSheetId="1" hidden="1">1</definedName>
    <definedName name="solver_itr" localSheetId="1" hidden="1">100</definedName>
    <definedName name="solver_lhs1" localSheetId="1" hidden="1">'Task 1'!$Q$15</definedName>
    <definedName name="solver_lhs10" localSheetId="1" hidden="1">'Task 1'!$O$45</definedName>
    <definedName name="solver_lhs11" localSheetId="1" hidden="1">'Task 1'!$Q$17</definedName>
    <definedName name="solver_lhs12" localSheetId="1" hidden="1">'Task 1'!$Q$17</definedName>
    <definedName name="solver_lhs2" localSheetId="1" hidden="1">'Task 1'!$Q$9</definedName>
    <definedName name="solver_lhs3" localSheetId="1" hidden="1">'Task 1'!$Q$10</definedName>
    <definedName name="solver_lhs4" localSheetId="1" hidden="1">'Task 1'!$Q$11</definedName>
    <definedName name="solver_lhs5" localSheetId="1" hidden="1">'Task 1'!$Q$12</definedName>
    <definedName name="solver_lhs6" localSheetId="1" hidden="1">'Task 1'!$Q$13</definedName>
    <definedName name="solver_lhs7" localSheetId="1" hidden="1">'Task 1'!$Q$17</definedName>
    <definedName name="solver_lhs8" localSheetId="1" hidden="1">'Task 1'!$Q$14</definedName>
    <definedName name="solver_lhs9" localSheetId="1" hidden="1">'Task 1'!$Q$16</definedName>
    <definedName name="solver_lin" localSheetId="1" hidden="1">2</definedName>
    <definedName name="solver_neg" localSheetId="1" hidden="1">2</definedName>
    <definedName name="solver_num" localSheetId="1" hidden="1">12</definedName>
    <definedName name="solver_nwt" localSheetId="1" hidden="1">1</definedName>
    <definedName name="solver_opt" localSheetId="1" hidden="1">'Task 1'!$O$45</definedName>
    <definedName name="solver_pre" localSheetId="1" hidden="1">0.000001</definedName>
    <definedName name="solver_rel1" localSheetId="1" hidden="1">4</definedName>
    <definedName name="solver_rel10" localSheetId="1" hidden="1">1</definedName>
    <definedName name="solver_rel11" localSheetId="1" hidden="1">3</definedName>
    <definedName name="solver_rel12" localSheetId="1" hidden="1">3</definedName>
    <definedName name="solver_rel2" localSheetId="1" hidden="1">4</definedName>
    <definedName name="solver_rel3" localSheetId="1" hidden="1">4</definedName>
    <definedName name="solver_rel4" localSheetId="1" hidden="1">4</definedName>
    <definedName name="solver_rel5" localSheetId="1" hidden="1">4</definedName>
    <definedName name="solver_rel6" localSheetId="1" hidden="1">4</definedName>
    <definedName name="solver_rel7" localSheetId="1" hidden="1">4</definedName>
    <definedName name="solver_rel8" localSheetId="1" hidden="1">4</definedName>
    <definedName name="solver_rel9" localSheetId="1" hidden="1">4</definedName>
    <definedName name="solver_rhs1" localSheetId="1" hidden="1">integer</definedName>
    <definedName name="solver_rhs10" localSheetId="1" hidden="1">3.5</definedName>
    <definedName name="solver_rhs11" localSheetId="1" hidden="1">'Task 1'!#REF!</definedName>
    <definedName name="solver_rhs12" localSheetId="1" hidden="1">'Task 1'!$Q$16</definedName>
    <definedName name="solver_rhs2" localSheetId="1" hidden="1">integer</definedName>
    <definedName name="solver_rhs3" localSheetId="1" hidden="1">integer</definedName>
    <definedName name="solver_rhs4" localSheetId="1" hidden="1">integer</definedName>
    <definedName name="solver_rhs5" localSheetId="1" hidden="1">integer</definedName>
    <definedName name="solver_rhs6" localSheetId="1" hidden="1">integer</definedName>
    <definedName name="solver_rhs7" localSheetId="1" hidden="1">integer</definedName>
    <definedName name="solver_rhs8" localSheetId="1" hidden="1">integer</definedName>
    <definedName name="solver_rhs9" localSheetId="1" hidden="1">integer</definedName>
    <definedName name="solver_scl" localSheetId="1" hidden="1">2</definedName>
    <definedName name="solver_sho" localSheetId="1" hidden="1">2</definedName>
    <definedName name="solver_tim" localSheetId="1" hidden="1">100</definedName>
    <definedName name="solver_tol" localSheetId="1" hidden="1">0</definedName>
    <definedName name="solver_typ" localSheetId="1" hidden="1">1</definedName>
    <definedName name="solver_val" localSheetId="1" hidden="1">3.5</definedName>
  </definedNames>
  <calcPr calcId="162913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9" i="8" l="1"/>
  <c r="J9" i="8"/>
  <c r="L9" i="8"/>
  <c r="D9" i="8"/>
  <c r="D10" i="8"/>
  <c r="E10" i="8"/>
  <c r="F10" i="8"/>
  <c r="C10" i="8"/>
  <c r="N10" i="8"/>
  <c r="O10" i="8"/>
  <c r="P10" i="8"/>
  <c r="M10" i="8"/>
  <c r="J10" i="8"/>
  <c r="K10" i="8"/>
  <c r="I10" i="8"/>
  <c r="L10" i="8"/>
  <c r="Q10" i="8"/>
  <c r="D11" i="8"/>
  <c r="E11" i="8"/>
  <c r="F11" i="8"/>
  <c r="C11" i="8"/>
  <c r="N11" i="8"/>
  <c r="O11" i="8"/>
  <c r="P11" i="8"/>
  <c r="M11" i="8"/>
  <c r="J11" i="8"/>
  <c r="K11" i="8"/>
  <c r="H11" i="8"/>
  <c r="I11" i="8"/>
  <c r="L11" i="8"/>
  <c r="Q11" i="8"/>
  <c r="D12" i="8"/>
  <c r="E12" i="8"/>
  <c r="F12" i="8"/>
  <c r="C12" i="8"/>
  <c r="N12" i="8"/>
  <c r="O12" i="8"/>
  <c r="P12" i="8"/>
  <c r="M12" i="8"/>
  <c r="J12" i="8"/>
  <c r="K12" i="8"/>
  <c r="I12" i="8"/>
  <c r="L12" i="8"/>
  <c r="Q12" i="8"/>
  <c r="D13" i="8"/>
  <c r="E13" i="8"/>
  <c r="F13" i="8"/>
  <c r="C13" i="8"/>
  <c r="N13" i="8"/>
  <c r="O13" i="8"/>
  <c r="P13" i="8"/>
  <c r="M13" i="8"/>
  <c r="J13" i="8"/>
  <c r="K13" i="8"/>
  <c r="H13" i="8"/>
  <c r="I13" i="8"/>
  <c r="L13" i="8"/>
  <c r="Q13" i="8"/>
  <c r="D14" i="8"/>
  <c r="E14" i="8"/>
  <c r="F14" i="8"/>
  <c r="C14" i="8"/>
  <c r="N14" i="8"/>
  <c r="O14" i="8"/>
  <c r="P14" i="8"/>
  <c r="M14" i="8"/>
  <c r="J14" i="8"/>
  <c r="K14" i="8"/>
  <c r="I14" i="8"/>
  <c r="L14" i="8"/>
  <c r="Q14" i="8"/>
  <c r="D15" i="8"/>
  <c r="E15" i="8"/>
  <c r="F15" i="8"/>
  <c r="C15" i="8"/>
  <c r="N15" i="8"/>
  <c r="O15" i="8"/>
  <c r="P15" i="8"/>
  <c r="M15" i="8"/>
  <c r="J15" i="8"/>
  <c r="K15" i="8"/>
  <c r="H15" i="8"/>
  <c r="I15" i="8"/>
  <c r="L15" i="8"/>
  <c r="Q15" i="8"/>
  <c r="D16" i="8"/>
  <c r="E16" i="8"/>
  <c r="F16" i="8"/>
  <c r="C16" i="8"/>
  <c r="N16" i="8"/>
  <c r="O16" i="8"/>
  <c r="P16" i="8"/>
  <c r="M16" i="8"/>
  <c r="J16" i="8"/>
  <c r="K16" i="8"/>
  <c r="I16" i="8"/>
  <c r="L16" i="8"/>
  <c r="Q16" i="8"/>
  <c r="D17" i="8"/>
  <c r="E17" i="8"/>
  <c r="F17" i="8"/>
  <c r="C17" i="8"/>
  <c r="N17" i="8"/>
  <c r="O17" i="8"/>
  <c r="P17" i="8"/>
  <c r="M17" i="8"/>
  <c r="J17" i="8"/>
  <c r="K17" i="8"/>
  <c r="H17" i="8"/>
  <c r="I17" i="8"/>
  <c r="L17" i="8"/>
  <c r="Q17" i="8"/>
  <c r="D18" i="8"/>
  <c r="E18" i="8"/>
  <c r="F18" i="8"/>
  <c r="C18" i="8"/>
  <c r="N18" i="8"/>
  <c r="O18" i="8"/>
  <c r="P18" i="8"/>
  <c r="M18" i="8"/>
  <c r="J18" i="8"/>
  <c r="K18" i="8"/>
  <c r="I18" i="8"/>
  <c r="L18" i="8"/>
  <c r="Q18" i="8"/>
  <c r="D19" i="8"/>
  <c r="E19" i="8"/>
  <c r="F19" i="8"/>
  <c r="C19" i="8"/>
  <c r="N19" i="8"/>
  <c r="O19" i="8"/>
  <c r="P19" i="8"/>
  <c r="M19" i="8"/>
  <c r="J19" i="8"/>
  <c r="K19" i="8"/>
  <c r="H19" i="8"/>
  <c r="I19" i="8"/>
  <c r="L19" i="8"/>
  <c r="Q19" i="8"/>
  <c r="D20" i="8"/>
  <c r="E20" i="8"/>
  <c r="F20" i="8"/>
  <c r="C20" i="8"/>
  <c r="N20" i="8"/>
  <c r="O20" i="8"/>
  <c r="P20" i="8"/>
  <c r="M20" i="8"/>
  <c r="J20" i="8"/>
  <c r="K20" i="8"/>
  <c r="I20" i="8"/>
  <c r="L20" i="8"/>
  <c r="Q20" i="8"/>
  <c r="D21" i="8"/>
  <c r="E21" i="8"/>
  <c r="F21" i="8"/>
  <c r="C21" i="8"/>
  <c r="N21" i="8"/>
  <c r="O21" i="8"/>
  <c r="P21" i="8"/>
  <c r="M21" i="8"/>
  <c r="J21" i="8"/>
  <c r="K21" i="8"/>
  <c r="H21" i="8"/>
  <c r="I21" i="8"/>
  <c r="L21" i="8"/>
  <c r="Q21" i="8"/>
  <c r="D22" i="8"/>
  <c r="E22" i="8"/>
  <c r="F22" i="8"/>
  <c r="C22" i="8"/>
  <c r="N22" i="8"/>
  <c r="O22" i="8"/>
  <c r="P22" i="8"/>
  <c r="M22" i="8"/>
  <c r="J22" i="8"/>
  <c r="K22" i="8"/>
  <c r="I22" i="8"/>
  <c r="L22" i="8"/>
  <c r="Q22" i="8"/>
  <c r="D23" i="8"/>
  <c r="E23" i="8"/>
  <c r="F23" i="8"/>
  <c r="C23" i="8"/>
  <c r="N23" i="8"/>
  <c r="O23" i="8"/>
  <c r="P23" i="8"/>
  <c r="M23" i="8"/>
  <c r="J23" i="8"/>
  <c r="K23" i="8"/>
  <c r="H23" i="8"/>
  <c r="I23" i="8"/>
  <c r="L23" i="8"/>
  <c r="Q23" i="8"/>
  <c r="D24" i="8"/>
  <c r="E24" i="8"/>
  <c r="F24" i="8"/>
  <c r="C24" i="8"/>
  <c r="N24" i="8"/>
  <c r="O24" i="8"/>
  <c r="P24" i="8"/>
  <c r="M24" i="8"/>
  <c r="J24" i="8"/>
  <c r="K24" i="8"/>
  <c r="I24" i="8"/>
  <c r="L24" i="8"/>
  <c r="Q24" i="8"/>
  <c r="D25" i="8"/>
  <c r="E25" i="8"/>
  <c r="F25" i="8"/>
  <c r="C25" i="8"/>
  <c r="N25" i="8"/>
  <c r="O25" i="8"/>
  <c r="P25" i="8"/>
  <c r="M25" i="8"/>
  <c r="J25" i="8"/>
  <c r="K25" i="8"/>
  <c r="H25" i="8"/>
  <c r="I25" i="8"/>
  <c r="L25" i="8"/>
  <c r="Q25" i="8"/>
  <c r="D26" i="8"/>
  <c r="E26" i="8"/>
  <c r="F26" i="8"/>
  <c r="C26" i="8"/>
  <c r="N26" i="8"/>
  <c r="O26" i="8"/>
  <c r="P26" i="8"/>
  <c r="M26" i="8"/>
  <c r="J26" i="8"/>
  <c r="K26" i="8"/>
  <c r="I26" i="8"/>
  <c r="L26" i="8"/>
  <c r="Q26" i="8"/>
  <c r="D27" i="8"/>
  <c r="E27" i="8"/>
  <c r="F27" i="8"/>
  <c r="C27" i="8"/>
  <c r="N27" i="8"/>
  <c r="O27" i="8"/>
  <c r="P27" i="8"/>
  <c r="M27" i="8"/>
  <c r="J27" i="8"/>
  <c r="K27" i="8"/>
  <c r="H27" i="8"/>
  <c r="I27" i="8"/>
  <c r="L27" i="8"/>
  <c r="Q27" i="8"/>
  <c r="D28" i="8"/>
  <c r="E28" i="8"/>
  <c r="F28" i="8"/>
  <c r="C28" i="8"/>
  <c r="N28" i="8"/>
  <c r="O28" i="8"/>
  <c r="P28" i="8"/>
  <c r="M28" i="8"/>
  <c r="J28" i="8"/>
  <c r="K28" i="8"/>
  <c r="I28" i="8"/>
  <c r="L28" i="8"/>
  <c r="Q28" i="8"/>
  <c r="D29" i="8"/>
  <c r="E29" i="8"/>
  <c r="F29" i="8"/>
  <c r="C29" i="8"/>
  <c r="N29" i="8"/>
  <c r="O29" i="8"/>
  <c r="P29" i="8"/>
  <c r="M29" i="8"/>
  <c r="J29" i="8"/>
  <c r="K29" i="8"/>
  <c r="H29" i="8"/>
  <c r="I29" i="8"/>
  <c r="L29" i="8"/>
  <c r="Q29" i="8"/>
  <c r="D30" i="8"/>
  <c r="E30" i="8"/>
  <c r="F30" i="8"/>
  <c r="C30" i="8"/>
  <c r="N30" i="8"/>
  <c r="O30" i="8"/>
  <c r="P30" i="8"/>
  <c r="M30" i="8"/>
  <c r="J30" i="8"/>
  <c r="K30" i="8"/>
  <c r="I30" i="8"/>
  <c r="L30" i="8"/>
  <c r="Q30" i="8"/>
  <c r="D31" i="8"/>
  <c r="E31" i="8"/>
  <c r="F31" i="8"/>
  <c r="C31" i="8"/>
  <c r="N31" i="8"/>
  <c r="O31" i="8"/>
  <c r="P31" i="8"/>
  <c r="M31" i="8"/>
  <c r="J31" i="8"/>
  <c r="K31" i="8"/>
  <c r="H31" i="8"/>
  <c r="I31" i="8"/>
  <c r="L31" i="8"/>
  <c r="Q31" i="8"/>
  <c r="D32" i="8"/>
  <c r="E32" i="8"/>
  <c r="F32" i="8"/>
  <c r="C32" i="8"/>
  <c r="N32" i="8"/>
  <c r="O32" i="8"/>
  <c r="P32" i="8"/>
  <c r="M32" i="8"/>
  <c r="J32" i="8"/>
  <c r="K32" i="8"/>
  <c r="I32" i="8"/>
  <c r="L32" i="8"/>
  <c r="Q32" i="8"/>
  <c r="D33" i="8"/>
  <c r="E33" i="8"/>
  <c r="F33" i="8"/>
  <c r="C33" i="8"/>
  <c r="N33" i="8"/>
  <c r="O33" i="8"/>
  <c r="P33" i="8"/>
  <c r="M33" i="8"/>
  <c r="J33" i="8"/>
  <c r="K33" i="8"/>
  <c r="H33" i="8"/>
  <c r="I33" i="8"/>
  <c r="L33" i="8"/>
  <c r="Q33" i="8"/>
  <c r="D34" i="8"/>
  <c r="E34" i="8"/>
  <c r="F34" i="8"/>
  <c r="C34" i="8"/>
  <c r="N34" i="8"/>
  <c r="O34" i="8"/>
  <c r="P34" i="8"/>
  <c r="M34" i="8"/>
  <c r="J34" i="8"/>
  <c r="K34" i="8"/>
  <c r="I34" i="8"/>
  <c r="L34" i="8"/>
  <c r="Q34" i="8"/>
  <c r="D35" i="8"/>
  <c r="E35" i="8"/>
  <c r="F35" i="8"/>
  <c r="C35" i="8"/>
  <c r="N35" i="8"/>
  <c r="O35" i="8"/>
  <c r="P35" i="8"/>
  <c r="M35" i="8"/>
  <c r="J35" i="8"/>
  <c r="K35" i="8"/>
  <c r="H35" i="8"/>
  <c r="I35" i="8"/>
  <c r="L35" i="8"/>
  <c r="Q35" i="8"/>
  <c r="D36" i="8"/>
  <c r="E36" i="8"/>
  <c r="F36" i="8"/>
  <c r="C36" i="8"/>
  <c r="N36" i="8"/>
  <c r="O36" i="8"/>
  <c r="P36" i="8"/>
  <c r="M36" i="8"/>
  <c r="J36" i="8"/>
  <c r="K36" i="8"/>
  <c r="I36" i="8"/>
  <c r="L36" i="8"/>
  <c r="Q36" i="8"/>
  <c r="D37" i="8"/>
  <c r="E37" i="8"/>
  <c r="F37" i="8"/>
  <c r="C37" i="8"/>
  <c r="N37" i="8"/>
  <c r="O37" i="8"/>
  <c r="P37" i="8"/>
  <c r="M37" i="8"/>
  <c r="J37" i="8"/>
  <c r="K37" i="8"/>
  <c r="H37" i="8"/>
  <c r="I37" i="8"/>
  <c r="L37" i="8"/>
  <c r="Q37" i="8"/>
  <c r="D38" i="8"/>
  <c r="E38" i="8"/>
  <c r="F38" i="8"/>
  <c r="C38" i="8"/>
  <c r="N38" i="8"/>
  <c r="O38" i="8"/>
  <c r="P38" i="8"/>
  <c r="M38" i="8"/>
  <c r="J38" i="8"/>
  <c r="K38" i="8"/>
  <c r="I38" i="8"/>
  <c r="L38" i="8"/>
  <c r="Q38" i="8"/>
  <c r="D39" i="8"/>
  <c r="E39" i="8"/>
  <c r="F39" i="8"/>
  <c r="C39" i="8"/>
  <c r="N39" i="8"/>
  <c r="O39" i="8"/>
  <c r="P39" i="8"/>
  <c r="M39" i="8"/>
  <c r="J39" i="8"/>
  <c r="K39" i="8"/>
  <c r="H39" i="8"/>
  <c r="I39" i="8"/>
  <c r="L39" i="8"/>
  <c r="Q39" i="8"/>
  <c r="D40" i="8"/>
  <c r="E40" i="8"/>
  <c r="F40" i="8"/>
  <c r="C40" i="8"/>
  <c r="N40" i="8"/>
  <c r="O40" i="8"/>
  <c r="P40" i="8"/>
  <c r="M40" i="8"/>
  <c r="J40" i="8"/>
  <c r="K40" i="8"/>
  <c r="I40" i="8"/>
  <c r="L40" i="8"/>
  <c r="Q40" i="8"/>
  <c r="D41" i="8"/>
  <c r="E41" i="8"/>
  <c r="F41" i="8"/>
  <c r="C41" i="8"/>
  <c r="N41" i="8"/>
  <c r="O41" i="8"/>
  <c r="P41" i="8"/>
  <c r="M41" i="8"/>
  <c r="J41" i="8"/>
  <c r="K41" i="8"/>
  <c r="H41" i="8"/>
  <c r="I41" i="8"/>
  <c r="L41" i="8"/>
  <c r="Q41" i="8"/>
  <c r="D42" i="8"/>
  <c r="E42" i="8"/>
  <c r="F42" i="8"/>
  <c r="C42" i="8"/>
  <c r="N42" i="8"/>
  <c r="O42" i="8"/>
  <c r="P42" i="8"/>
  <c r="M42" i="8"/>
  <c r="J42" i="8"/>
  <c r="K42" i="8"/>
  <c r="I42" i="8"/>
  <c r="L42" i="8"/>
  <c r="Q42" i="8"/>
  <c r="D43" i="8"/>
  <c r="E43" i="8"/>
  <c r="F43" i="8"/>
  <c r="C43" i="8"/>
  <c r="N43" i="8"/>
  <c r="O43" i="8"/>
  <c r="P43" i="8"/>
  <c r="M43" i="8"/>
  <c r="J43" i="8"/>
  <c r="K43" i="8"/>
  <c r="H43" i="8"/>
  <c r="I43" i="8"/>
  <c r="L43" i="8"/>
  <c r="Q43" i="8"/>
  <c r="D44" i="8"/>
  <c r="E44" i="8"/>
  <c r="F44" i="8"/>
  <c r="C44" i="8"/>
  <c r="N44" i="8"/>
  <c r="O44" i="8"/>
  <c r="P44" i="8"/>
  <c r="M44" i="8"/>
  <c r="J44" i="8"/>
  <c r="K44" i="8"/>
  <c r="I44" i="8"/>
  <c r="L44" i="8"/>
  <c r="Q44" i="8"/>
  <c r="Q9" i="8"/>
  <c r="P9" i="8"/>
  <c r="E9" i="8"/>
  <c r="N9" i="8"/>
  <c r="C18" i="3"/>
  <c r="D18" i="3"/>
  <c r="E18" i="3"/>
  <c r="O18" i="3"/>
  <c r="Q18" i="3"/>
  <c r="P18" i="3"/>
  <c r="C19" i="3"/>
  <c r="D19" i="3"/>
  <c r="E19" i="3"/>
  <c r="O19" i="3"/>
  <c r="Q19" i="3"/>
  <c r="P19" i="3"/>
  <c r="C20" i="3"/>
  <c r="D20" i="3"/>
  <c r="E20" i="3"/>
  <c r="O20" i="3"/>
  <c r="Q20" i="3"/>
  <c r="P20" i="3"/>
  <c r="C21" i="3"/>
  <c r="D21" i="3"/>
  <c r="E21" i="3"/>
  <c r="O21" i="3"/>
  <c r="Q21" i="3"/>
  <c r="P21" i="3"/>
  <c r="C22" i="3"/>
  <c r="D22" i="3"/>
  <c r="E22" i="3"/>
  <c r="O22" i="3"/>
  <c r="Q22" i="3"/>
  <c r="P22" i="3"/>
  <c r="C23" i="3"/>
  <c r="D23" i="3"/>
  <c r="E23" i="3"/>
  <c r="O23" i="3"/>
  <c r="Q23" i="3"/>
  <c r="P23" i="3"/>
  <c r="C24" i="3"/>
  <c r="D24" i="3"/>
  <c r="E24" i="3"/>
  <c r="O24" i="3"/>
  <c r="Q24" i="3"/>
  <c r="P24" i="3"/>
  <c r="C25" i="3"/>
  <c r="D25" i="3"/>
  <c r="E25" i="3"/>
  <c r="O25" i="3"/>
  <c r="Q25" i="3"/>
  <c r="P25" i="3"/>
  <c r="C26" i="3"/>
  <c r="D26" i="3"/>
  <c r="E26" i="3"/>
  <c r="O26" i="3"/>
  <c r="Q26" i="3"/>
  <c r="P26" i="3"/>
  <c r="C27" i="3"/>
  <c r="D27" i="3"/>
  <c r="E27" i="3"/>
  <c r="O27" i="3"/>
  <c r="Q27" i="3"/>
  <c r="P27" i="3"/>
  <c r="C28" i="3"/>
  <c r="D28" i="3"/>
  <c r="E28" i="3"/>
  <c r="O28" i="3"/>
  <c r="Q28" i="3"/>
  <c r="P28" i="3"/>
  <c r="C29" i="3"/>
  <c r="D29" i="3"/>
  <c r="E29" i="3"/>
  <c r="O29" i="3"/>
  <c r="Q29" i="3"/>
  <c r="P29" i="3"/>
  <c r="C30" i="3"/>
  <c r="D30" i="3"/>
  <c r="E30" i="3"/>
  <c r="O30" i="3"/>
  <c r="Q30" i="3"/>
  <c r="P30" i="3"/>
  <c r="C31" i="3"/>
  <c r="D31" i="3"/>
  <c r="E31" i="3"/>
  <c r="O31" i="3"/>
  <c r="Q31" i="3"/>
  <c r="P31" i="3"/>
  <c r="C32" i="3"/>
  <c r="D32" i="3"/>
  <c r="E32" i="3"/>
  <c r="O32" i="3"/>
  <c r="Q32" i="3"/>
  <c r="P32" i="3"/>
  <c r="C33" i="3"/>
  <c r="D33" i="3"/>
  <c r="E33" i="3"/>
  <c r="O33" i="3"/>
  <c r="Q33" i="3"/>
  <c r="P33" i="3"/>
  <c r="C34" i="3"/>
  <c r="D34" i="3"/>
  <c r="E34" i="3"/>
  <c r="O34" i="3"/>
  <c r="Q34" i="3"/>
  <c r="P34" i="3"/>
  <c r="C35" i="3"/>
  <c r="D35" i="3"/>
  <c r="E35" i="3"/>
  <c r="O35" i="3"/>
  <c r="Q35" i="3"/>
  <c r="P35" i="3"/>
  <c r="C36" i="3"/>
  <c r="D36" i="3"/>
  <c r="E36" i="3"/>
  <c r="O36" i="3"/>
  <c r="Q36" i="3"/>
  <c r="P36" i="3"/>
  <c r="C37" i="3"/>
  <c r="D37" i="3"/>
  <c r="E37" i="3"/>
  <c r="O37" i="3"/>
  <c r="Q37" i="3"/>
  <c r="P37" i="3"/>
  <c r="C38" i="3"/>
  <c r="D38" i="3"/>
  <c r="E38" i="3"/>
  <c r="O38" i="3"/>
  <c r="Q38" i="3"/>
  <c r="P38" i="3"/>
  <c r="C39" i="3"/>
  <c r="D39" i="3"/>
  <c r="E39" i="3"/>
  <c r="O39" i="3"/>
  <c r="Q39" i="3"/>
  <c r="P39" i="3"/>
  <c r="C40" i="3"/>
  <c r="D40" i="3"/>
  <c r="E40" i="3"/>
  <c r="O40" i="3"/>
  <c r="Q40" i="3"/>
  <c r="P40" i="3"/>
  <c r="C41" i="3"/>
  <c r="D41" i="3"/>
  <c r="E41" i="3"/>
  <c r="O41" i="3"/>
  <c r="Q41" i="3"/>
  <c r="P41" i="3"/>
  <c r="C42" i="3"/>
  <c r="D42" i="3"/>
  <c r="E42" i="3"/>
  <c r="O42" i="3"/>
  <c r="Q42" i="3"/>
  <c r="P42" i="3"/>
  <c r="C43" i="3"/>
  <c r="D43" i="3"/>
  <c r="E43" i="3"/>
  <c r="O43" i="3"/>
  <c r="Q43" i="3"/>
  <c r="P43" i="3"/>
  <c r="C44" i="3"/>
  <c r="D44" i="3"/>
  <c r="E44" i="3"/>
  <c r="O44" i="3"/>
  <c r="Q44" i="3"/>
  <c r="P44" i="3"/>
  <c r="C45" i="3"/>
  <c r="D45" i="3"/>
  <c r="E45" i="3"/>
  <c r="O45" i="3"/>
  <c r="Q45" i="3"/>
  <c r="P45" i="3"/>
  <c r="C46" i="3"/>
  <c r="D46" i="3"/>
  <c r="E46" i="3"/>
  <c r="O46" i="3"/>
  <c r="Q46" i="3"/>
  <c r="P46" i="3"/>
  <c r="C47" i="3"/>
  <c r="D47" i="3"/>
  <c r="E47" i="3"/>
  <c r="O47" i="3"/>
  <c r="Q47" i="3"/>
  <c r="P47" i="3"/>
  <c r="C48" i="3"/>
  <c r="D48" i="3"/>
  <c r="E48" i="3"/>
  <c r="O48" i="3"/>
  <c r="Q48" i="3"/>
  <c r="P48" i="3"/>
  <c r="C49" i="3"/>
  <c r="D49" i="3"/>
  <c r="E49" i="3"/>
  <c r="O49" i="3"/>
  <c r="Q49" i="3"/>
  <c r="P49" i="3"/>
  <c r="C50" i="3"/>
  <c r="D50" i="3"/>
  <c r="E50" i="3"/>
  <c r="O50" i="3"/>
  <c r="Q50" i="3"/>
  <c r="P50" i="3"/>
  <c r="C51" i="3"/>
  <c r="D51" i="3"/>
  <c r="E51" i="3"/>
  <c r="O51" i="3"/>
  <c r="Q51" i="3"/>
  <c r="P51" i="3"/>
  <c r="C52" i="3"/>
  <c r="D52" i="3"/>
  <c r="E52" i="3"/>
  <c r="O52" i="3"/>
  <c r="Q52" i="3"/>
  <c r="P52" i="3"/>
  <c r="N52" i="3"/>
  <c r="I52" i="3"/>
  <c r="N51" i="3"/>
  <c r="I51" i="3"/>
  <c r="N50" i="3"/>
  <c r="I50" i="3"/>
  <c r="N49" i="3"/>
  <c r="I49" i="3"/>
  <c r="N48" i="3"/>
  <c r="I48" i="3"/>
  <c r="N47" i="3"/>
  <c r="I47" i="3"/>
  <c r="N46" i="3"/>
  <c r="I46" i="3"/>
  <c r="N45" i="3"/>
  <c r="I45" i="3"/>
  <c r="N44" i="3"/>
  <c r="I44" i="3"/>
  <c r="N43" i="3"/>
  <c r="I43" i="3"/>
  <c r="N42" i="3"/>
  <c r="I42" i="3"/>
  <c r="N41" i="3"/>
  <c r="I41" i="3"/>
  <c r="N40" i="3"/>
  <c r="I40" i="3"/>
  <c r="N39" i="3"/>
  <c r="I39" i="3"/>
  <c r="N38" i="3"/>
  <c r="I38" i="3"/>
  <c r="N37" i="3"/>
  <c r="I37" i="3"/>
  <c r="N36" i="3"/>
  <c r="I36" i="3"/>
  <c r="N35" i="3"/>
  <c r="I35" i="3"/>
  <c r="N34" i="3"/>
  <c r="I34" i="3"/>
  <c r="N33" i="3"/>
  <c r="I33" i="3"/>
  <c r="N32" i="3"/>
  <c r="I32" i="3"/>
  <c r="N31" i="3"/>
  <c r="I31" i="3"/>
  <c r="N30" i="3"/>
  <c r="I30" i="3"/>
  <c r="N29" i="3"/>
  <c r="I29" i="3"/>
  <c r="N28" i="3"/>
  <c r="I28" i="3"/>
  <c r="N27" i="3"/>
  <c r="I27" i="3"/>
  <c r="N26" i="3"/>
  <c r="I26" i="3"/>
  <c r="N25" i="3"/>
  <c r="I25" i="3"/>
  <c r="N24" i="3"/>
  <c r="I24" i="3"/>
  <c r="N23" i="3"/>
  <c r="I23" i="3"/>
  <c r="N22" i="3"/>
  <c r="I22" i="3"/>
  <c r="N21" i="3"/>
  <c r="I21" i="3"/>
  <c r="N20" i="3"/>
  <c r="I20" i="3"/>
  <c r="N19" i="3"/>
  <c r="I19" i="3"/>
  <c r="N18" i="3"/>
  <c r="I18" i="3"/>
  <c r="J18" i="3"/>
  <c r="H18" i="3"/>
  <c r="K18" i="3"/>
  <c r="J19" i="3"/>
  <c r="G19" i="3"/>
  <c r="H19" i="3"/>
  <c r="K19" i="3"/>
  <c r="J20" i="3"/>
  <c r="H20" i="3"/>
  <c r="K20" i="3"/>
  <c r="J21" i="3"/>
  <c r="G21" i="3"/>
  <c r="H21" i="3"/>
  <c r="K21" i="3"/>
  <c r="J22" i="3"/>
  <c r="H22" i="3"/>
  <c r="K22" i="3"/>
  <c r="J23" i="3"/>
  <c r="G23" i="3"/>
  <c r="H23" i="3"/>
  <c r="K23" i="3"/>
  <c r="J24" i="3"/>
  <c r="H24" i="3"/>
  <c r="K24" i="3"/>
  <c r="J25" i="3"/>
  <c r="G25" i="3"/>
  <c r="H25" i="3"/>
  <c r="K25" i="3"/>
  <c r="J26" i="3"/>
  <c r="H26" i="3"/>
  <c r="K26" i="3"/>
  <c r="J27" i="3"/>
  <c r="G27" i="3"/>
  <c r="H27" i="3"/>
  <c r="K27" i="3"/>
  <c r="J28" i="3"/>
  <c r="H28" i="3"/>
  <c r="K28" i="3"/>
  <c r="J29" i="3"/>
  <c r="G29" i="3"/>
  <c r="H29" i="3"/>
  <c r="K29" i="3"/>
  <c r="J30" i="3"/>
  <c r="H30" i="3"/>
  <c r="K30" i="3"/>
  <c r="J31" i="3"/>
  <c r="G31" i="3"/>
  <c r="H31" i="3"/>
  <c r="K31" i="3"/>
  <c r="J32" i="3"/>
  <c r="H32" i="3"/>
  <c r="K32" i="3"/>
  <c r="J33" i="3"/>
  <c r="G33" i="3"/>
  <c r="H33" i="3"/>
  <c r="K33" i="3"/>
  <c r="J34" i="3"/>
  <c r="H34" i="3"/>
  <c r="K34" i="3"/>
  <c r="J35" i="3"/>
  <c r="G35" i="3"/>
  <c r="H35" i="3"/>
  <c r="K35" i="3"/>
  <c r="J36" i="3"/>
  <c r="H36" i="3"/>
  <c r="K36" i="3"/>
  <c r="J37" i="3"/>
  <c r="G37" i="3"/>
  <c r="H37" i="3"/>
  <c r="K37" i="3"/>
  <c r="J38" i="3"/>
  <c r="H38" i="3"/>
  <c r="K38" i="3"/>
  <c r="J39" i="3"/>
  <c r="G39" i="3"/>
  <c r="H39" i="3"/>
  <c r="K39" i="3"/>
  <c r="J40" i="3"/>
  <c r="H40" i="3"/>
  <c r="K40" i="3"/>
  <c r="J41" i="3"/>
  <c r="G41" i="3"/>
  <c r="H41" i="3"/>
  <c r="K41" i="3"/>
  <c r="J42" i="3"/>
  <c r="H42" i="3"/>
  <c r="K42" i="3"/>
  <c r="J43" i="3"/>
  <c r="G43" i="3"/>
  <c r="H43" i="3"/>
  <c r="K43" i="3"/>
  <c r="J44" i="3"/>
  <c r="H44" i="3"/>
  <c r="K44" i="3"/>
  <c r="J45" i="3"/>
  <c r="G45" i="3"/>
  <c r="H45" i="3"/>
  <c r="K45" i="3"/>
  <c r="J46" i="3"/>
  <c r="H46" i="3"/>
  <c r="K46" i="3"/>
  <c r="J47" i="3"/>
  <c r="G47" i="3"/>
  <c r="H47" i="3"/>
  <c r="K47" i="3"/>
  <c r="J48" i="3"/>
  <c r="H48" i="3"/>
  <c r="K48" i="3"/>
  <c r="J49" i="3"/>
  <c r="G49" i="3"/>
  <c r="H49" i="3"/>
  <c r="K49" i="3"/>
  <c r="J50" i="3"/>
  <c r="H50" i="3"/>
  <c r="K50" i="3"/>
  <c r="J51" i="3"/>
  <c r="G51" i="3"/>
  <c r="H51" i="3"/>
  <c r="K51" i="3"/>
  <c r="J52" i="3"/>
  <c r="H52" i="3"/>
  <c r="K52" i="3"/>
  <c r="R52" i="3"/>
  <c r="Z9" i="3"/>
  <c r="Z17" i="3"/>
  <c r="AA17" i="3"/>
  <c r="AD17" i="3"/>
  <c r="Z18" i="3"/>
  <c r="F9" i="8"/>
  <c r="H12" i="8"/>
  <c r="H14" i="8"/>
  <c r="H16" i="8"/>
  <c r="H18" i="8"/>
  <c r="H20" i="8"/>
  <c r="H22" i="8"/>
  <c r="H24" i="8"/>
  <c r="H26" i="8"/>
  <c r="H28" i="8"/>
  <c r="H30" i="8"/>
  <c r="H32" i="8"/>
  <c r="H34" i="8"/>
  <c r="H36" i="8"/>
  <c r="H38" i="8"/>
  <c r="H40" i="8"/>
  <c r="H42" i="8"/>
  <c r="H44" i="8"/>
  <c r="H10" i="8"/>
  <c r="G44" i="8"/>
  <c r="G43" i="8"/>
  <c r="G15" i="8"/>
  <c r="G42" i="8"/>
  <c r="G41" i="8"/>
  <c r="G40" i="8"/>
  <c r="G39" i="8"/>
  <c r="G38" i="8"/>
  <c r="G37" i="8"/>
  <c r="G36" i="8"/>
  <c r="G35" i="8"/>
  <c r="G34" i="8"/>
  <c r="G33" i="8"/>
  <c r="G32" i="8"/>
  <c r="G31" i="8"/>
  <c r="G30" i="8"/>
  <c r="G29" i="8"/>
  <c r="G28" i="8"/>
  <c r="G27" i="8"/>
  <c r="G26" i="8"/>
  <c r="G25" i="8"/>
  <c r="G24" i="8"/>
  <c r="G23" i="8"/>
  <c r="G22" i="8"/>
  <c r="G21" i="8"/>
  <c r="G20" i="8"/>
  <c r="G19" i="8"/>
  <c r="G18" i="8"/>
  <c r="G17" i="8"/>
  <c r="G16" i="8"/>
  <c r="G14" i="8"/>
  <c r="G13" i="8"/>
  <c r="G12" i="8"/>
  <c r="G11" i="8"/>
  <c r="G10" i="8"/>
  <c r="G9" i="8"/>
  <c r="C9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1" i="8"/>
  <c r="AE41" i="3"/>
  <c r="P17" i="3"/>
  <c r="R18" i="3"/>
  <c r="T18" i="3"/>
  <c r="V18" i="3"/>
  <c r="I17" i="3"/>
  <c r="K17" i="3"/>
  <c r="G20" i="3"/>
  <c r="G22" i="3"/>
  <c r="G24" i="3"/>
  <c r="G26" i="3"/>
  <c r="G28" i="3"/>
  <c r="G30" i="3"/>
  <c r="G32" i="3"/>
  <c r="G34" i="3"/>
  <c r="G36" i="3"/>
  <c r="G38" i="3"/>
  <c r="G40" i="3"/>
  <c r="G42" i="3"/>
  <c r="G44" i="3"/>
  <c r="G46" i="3"/>
  <c r="G48" i="3"/>
  <c r="G50" i="3"/>
  <c r="G52" i="3"/>
  <c r="G18" i="3"/>
  <c r="AA18" i="3"/>
  <c r="AC18" i="3"/>
  <c r="AD18" i="3"/>
  <c r="Z19" i="3"/>
  <c r="AC19" i="3"/>
  <c r="AA19" i="3"/>
  <c r="AD19" i="3"/>
  <c r="Z20" i="3"/>
  <c r="AC20" i="3"/>
  <c r="AA20" i="3"/>
  <c r="AD20" i="3"/>
  <c r="Z21" i="3"/>
  <c r="AC21" i="3"/>
  <c r="AA21" i="3"/>
  <c r="AD21" i="3"/>
  <c r="Z22" i="3"/>
  <c r="AC22" i="3"/>
  <c r="AA22" i="3"/>
  <c r="AD22" i="3"/>
  <c r="Z23" i="3"/>
  <c r="AC23" i="3"/>
  <c r="AA23" i="3"/>
  <c r="AD23" i="3"/>
  <c r="Z24" i="3"/>
  <c r="AC24" i="3"/>
  <c r="AA24" i="3"/>
  <c r="AD24" i="3"/>
  <c r="Z25" i="3"/>
  <c r="AC25" i="3"/>
  <c r="AA25" i="3"/>
  <c r="AD25" i="3"/>
  <c r="Z26" i="3"/>
  <c r="AC26" i="3"/>
  <c r="AA26" i="3"/>
  <c r="AD26" i="3"/>
  <c r="Z27" i="3"/>
  <c r="AC27" i="3"/>
  <c r="AA27" i="3"/>
  <c r="AD27" i="3"/>
  <c r="Z28" i="3"/>
  <c r="AC28" i="3"/>
  <c r="AA28" i="3"/>
  <c r="AD28" i="3"/>
  <c r="Z29" i="3"/>
  <c r="AC29" i="3"/>
  <c r="AA29" i="3"/>
  <c r="AD29" i="3"/>
  <c r="Z30" i="3"/>
  <c r="AC30" i="3"/>
  <c r="AA30" i="3"/>
  <c r="AD30" i="3"/>
  <c r="Z31" i="3"/>
  <c r="AC31" i="3"/>
  <c r="AA31" i="3"/>
  <c r="AD31" i="3"/>
  <c r="Z32" i="3"/>
  <c r="AC32" i="3"/>
  <c r="AA32" i="3"/>
  <c r="AD32" i="3"/>
  <c r="Z33" i="3"/>
  <c r="AC33" i="3"/>
  <c r="AA33" i="3"/>
  <c r="AD33" i="3"/>
  <c r="Z34" i="3"/>
  <c r="AC34" i="3"/>
  <c r="AA34" i="3"/>
  <c r="AD34" i="3"/>
  <c r="Z35" i="3"/>
  <c r="AC35" i="3"/>
  <c r="AA35" i="3"/>
  <c r="AD35" i="3"/>
  <c r="Z36" i="3"/>
  <c r="AC36" i="3"/>
  <c r="AA36" i="3"/>
  <c r="AD36" i="3"/>
  <c r="Z37" i="3"/>
  <c r="AC37" i="3"/>
  <c r="AA37" i="3"/>
  <c r="AD37" i="3"/>
  <c r="Z38" i="3"/>
  <c r="AC38" i="3"/>
  <c r="AA38" i="3"/>
  <c r="AD38" i="3"/>
  <c r="Z39" i="3"/>
  <c r="AC39" i="3"/>
  <c r="AA39" i="3"/>
  <c r="AD39" i="3"/>
  <c r="Z40" i="3"/>
  <c r="AC40" i="3"/>
  <c r="AA40" i="3"/>
  <c r="AD40" i="3"/>
  <c r="Z41" i="3"/>
  <c r="AC41" i="3"/>
  <c r="AA41" i="3"/>
  <c r="AD41" i="3"/>
  <c r="Z42" i="3"/>
  <c r="AC42" i="3"/>
  <c r="AA42" i="3"/>
  <c r="AD42" i="3"/>
  <c r="Z43" i="3"/>
  <c r="AC43" i="3"/>
  <c r="AA43" i="3"/>
  <c r="AD43" i="3"/>
  <c r="Z44" i="3"/>
  <c r="AC44" i="3"/>
  <c r="AA44" i="3"/>
  <c r="AD44" i="3"/>
  <c r="Z45" i="3"/>
  <c r="AC45" i="3"/>
  <c r="AA45" i="3"/>
  <c r="AD45" i="3"/>
  <c r="Z46" i="3"/>
  <c r="AC46" i="3"/>
  <c r="AA46" i="3"/>
  <c r="AD46" i="3"/>
  <c r="Z47" i="3"/>
  <c r="AC47" i="3"/>
  <c r="AA47" i="3"/>
  <c r="AD47" i="3"/>
  <c r="Z48" i="3"/>
  <c r="AC48" i="3"/>
  <c r="AA48" i="3"/>
  <c r="AD48" i="3"/>
  <c r="Z49" i="3"/>
  <c r="AC49" i="3"/>
  <c r="AA49" i="3"/>
  <c r="AD49" i="3"/>
  <c r="Z50" i="3"/>
  <c r="AC50" i="3"/>
  <c r="AA50" i="3"/>
  <c r="AD50" i="3"/>
  <c r="Z51" i="3"/>
  <c r="AC51" i="3"/>
  <c r="AA51" i="3"/>
  <c r="AD51" i="3"/>
  <c r="Z52" i="3"/>
  <c r="AC52" i="3"/>
  <c r="AA52" i="3"/>
  <c r="AD52" i="3"/>
  <c r="AB18" i="3"/>
  <c r="AB19" i="3"/>
  <c r="AB20" i="3"/>
  <c r="AB21" i="3"/>
  <c r="AB22" i="3"/>
  <c r="AB23" i="3"/>
  <c r="AB24" i="3"/>
  <c r="AB25" i="3"/>
  <c r="AB26" i="3"/>
  <c r="AB27" i="3"/>
  <c r="AB28" i="3"/>
  <c r="AB29" i="3"/>
  <c r="AB30" i="3"/>
  <c r="AB31" i="3"/>
  <c r="AB32" i="3"/>
  <c r="AB33" i="3"/>
  <c r="AB34" i="3"/>
  <c r="AB35" i="3"/>
  <c r="AB36" i="3"/>
  <c r="AB37" i="3"/>
  <c r="AB38" i="3"/>
  <c r="AB39" i="3"/>
  <c r="AB40" i="3"/>
  <c r="AB41" i="3"/>
  <c r="AB42" i="3"/>
  <c r="AB43" i="3"/>
  <c r="AB44" i="3"/>
  <c r="AB45" i="3"/>
  <c r="AB46" i="3"/>
  <c r="AB47" i="3"/>
  <c r="AB48" i="3"/>
  <c r="AB49" i="3"/>
  <c r="AB50" i="3"/>
  <c r="AB51" i="3"/>
  <c r="AB52" i="3"/>
  <c r="AB17" i="3"/>
  <c r="T17" i="3"/>
  <c r="U17" i="3"/>
  <c r="U18" i="3"/>
  <c r="T19" i="3"/>
  <c r="U19" i="3"/>
  <c r="V19" i="3"/>
  <c r="T20" i="3"/>
  <c r="U20" i="3"/>
  <c r="V20" i="3"/>
  <c r="T21" i="3"/>
  <c r="U21" i="3"/>
  <c r="V21" i="3"/>
  <c r="T22" i="3"/>
  <c r="U22" i="3"/>
  <c r="V22" i="3"/>
  <c r="T23" i="3"/>
  <c r="U23" i="3"/>
  <c r="V23" i="3"/>
  <c r="T24" i="3"/>
  <c r="U24" i="3"/>
  <c r="V24" i="3"/>
  <c r="T25" i="3"/>
  <c r="U25" i="3"/>
  <c r="V25" i="3"/>
  <c r="T26" i="3"/>
  <c r="U26" i="3"/>
  <c r="V26" i="3"/>
  <c r="T27" i="3"/>
  <c r="U27" i="3"/>
  <c r="V27" i="3"/>
  <c r="T28" i="3"/>
  <c r="U28" i="3"/>
  <c r="V28" i="3"/>
  <c r="T29" i="3"/>
  <c r="U29" i="3"/>
  <c r="V29" i="3"/>
  <c r="T30" i="3"/>
  <c r="U30" i="3"/>
  <c r="V30" i="3"/>
  <c r="T31" i="3"/>
  <c r="U31" i="3"/>
  <c r="V31" i="3"/>
  <c r="T32" i="3"/>
  <c r="U32" i="3"/>
  <c r="V32" i="3"/>
  <c r="T33" i="3"/>
  <c r="U33" i="3"/>
  <c r="V33" i="3"/>
  <c r="T34" i="3"/>
  <c r="U34" i="3"/>
  <c r="V34" i="3"/>
  <c r="T35" i="3"/>
  <c r="U35" i="3"/>
  <c r="V35" i="3"/>
  <c r="T36" i="3"/>
  <c r="U36" i="3"/>
  <c r="V36" i="3"/>
  <c r="T37" i="3"/>
  <c r="U37" i="3"/>
  <c r="V37" i="3"/>
  <c r="T38" i="3"/>
  <c r="U38" i="3"/>
  <c r="V38" i="3"/>
  <c r="T39" i="3"/>
  <c r="U39" i="3"/>
  <c r="V39" i="3"/>
  <c r="T40" i="3"/>
  <c r="U40" i="3"/>
  <c r="V40" i="3"/>
  <c r="T41" i="3"/>
  <c r="U41" i="3"/>
  <c r="V41" i="3"/>
  <c r="T42" i="3"/>
  <c r="U42" i="3"/>
  <c r="V42" i="3"/>
  <c r="T43" i="3"/>
  <c r="U43" i="3"/>
  <c r="V43" i="3"/>
  <c r="T44" i="3"/>
  <c r="U44" i="3"/>
  <c r="V44" i="3"/>
  <c r="T45" i="3"/>
  <c r="U45" i="3"/>
  <c r="V45" i="3"/>
  <c r="T46" i="3"/>
  <c r="U46" i="3"/>
  <c r="V46" i="3"/>
  <c r="T47" i="3"/>
  <c r="U47" i="3"/>
  <c r="V47" i="3"/>
  <c r="T48" i="3"/>
  <c r="U48" i="3"/>
  <c r="V48" i="3"/>
  <c r="T49" i="3"/>
  <c r="U49" i="3"/>
  <c r="V49" i="3"/>
  <c r="T50" i="3"/>
  <c r="U50" i="3"/>
  <c r="V50" i="3"/>
  <c r="T51" i="3"/>
  <c r="U51" i="3"/>
  <c r="V51" i="3"/>
  <c r="T52" i="3"/>
  <c r="U52" i="3"/>
  <c r="W52" i="3"/>
  <c r="E78" i="3"/>
  <c r="W18" i="3"/>
  <c r="R19" i="3"/>
  <c r="W19" i="3"/>
  <c r="R20" i="3"/>
  <c r="W20" i="3"/>
  <c r="R21" i="3"/>
  <c r="W21" i="3"/>
  <c r="R22" i="3"/>
  <c r="W22" i="3"/>
  <c r="R23" i="3"/>
  <c r="W23" i="3"/>
  <c r="R24" i="3"/>
  <c r="W24" i="3"/>
  <c r="R25" i="3"/>
  <c r="W25" i="3"/>
  <c r="R26" i="3"/>
  <c r="W26" i="3"/>
  <c r="R27" i="3"/>
  <c r="W27" i="3"/>
  <c r="R28" i="3"/>
  <c r="W28" i="3"/>
  <c r="R29" i="3"/>
  <c r="W29" i="3"/>
  <c r="R30" i="3"/>
  <c r="W30" i="3"/>
  <c r="R31" i="3"/>
  <c r="W31" i="3"/>
  <c r="R32" i="3"/>
  <c r="W32" i="3"/>
  <c r="R33" i="3"/>
  <c r="W33" i="3"/>
  <c r="R34" i="3"/>
  <c r="W34" i="3"/>
  <c r="R35" i="3"/>
  <c r="W35" i="3"/>
  <c r="R36" i="3"/>
  <c r="W36" i="3"/>
  <c r="R37" i="3"/>
  <c r="W37" i="3"/>
  <c r="R38" i="3"/>
  <c r="W38" i="3"/>
  <c r="R39" i="3"/>
  <c r="W39" i="3"/>
  <c r="R40" i="3"/>
  <c r="W40" i="3"/>
  <c r="R41" i="3"/>
  <c r="W41" i="3"/>
  <c r="R42" i="3"/>
  <c r="W42" i="3"/>
  <c r="R43" i="3"/>
  <c r="W43" i="3"/>
  <c r="R44" i="3"/>
  <c r="W44" i="3"/>
  <c r="R45" i="3"/>
  <c r="W45" i="3"/>
  <c r="R46" i="3"/>
  <c r="W46" i="3"/>
  <c r="R47" i="3"/>
  <c r="W47" i="3"/>
  <c r="R48" i="3"/>
  <c r="W48" i="3"/>
  <c r="R49" i="3"/>
  <c r="W49" i="3"/>
  <c r="R50" i="3"/>
  <c r="W50" i="3"/>
  <c r="R51" i="3"/>
  <c r="W51" i="3"/>
  <c r="R17" i="3"/>
  <c r="W17" i="3"/>
  <c r="V52" i="3"/>
  <c r="C17" i="3"/>
  <c r="A18" i="3"/>
  <c r="N17" i="3"/>
  <c r="L17" i="3"/>
  <c r="M18" i="3"/>
  <c r="J8" i="7"/>
  <c r="D17" i="3"/>
  <c r="L18" i="3"/>
  <c r="A19" i="3"/>
  <c r="M19" i="3"/>
  <c r="L19" i="3"/>
  <c r="A20" i="3"/>
  <c r="M20" i="3"/>
  <c r="L20" i="3"/>
  <c r="A21" i="3"/>
  <c r="M21" i="3"/>
  <c r="L21" i="3"/>
  <c r="A22" i="3"/>
  <c r="M22" i="3"/>
  <c r="L22" i="3"/>
  <c r="A23" i="3"/>
  <c r="M23" i="3"/>
  <c r="L23" i="3"/>
  <c r="A24" i="3"/>
  <c r="M24" i="3"/>
  <c r="L24" i="3"/>
  <c r="A25" i="3"/>
  <c r="M25" i="3"/>
  <c r="L25" i="3"/>
  <c r="A26" i="3"/>
  <c r="M26" i="3"/>
  <c r="L26" i="3"/>
  <c r="A27" i="3"/>
  <c r="M27" i="3"/>
  <c r="L27" i="3"/>
  <c r="A28" i="3"/>
  <c r="M28" i="3"/>
  <c r="L28" i="3"/>
  <c r="A29" i="3"/>
  <c r="M29" i="3"/>
  <c r="L29" i="3"/>
  <c r="A30" i="3"/>
  <c r="M30" i="3"/>
  <c r="L30" i="3"/>
  <c r="A31" i="3"/>
  <c r="M31" i="3"/>
  <c r="L31" i="3"/>
  <c r="A32" i="3"/>
  <c r="M32" i="3"/>
  <c r="L32" i="3"/>
  <c r="A33" i="3"/>
  <c r="M33" i="3"/>
  <c r="L33" i="3"/>
  <c r="A34" i="3"/>
  <c r="M34" i="3"/>
  <c r="L34" i="3"/>
  <c r="A35" i="3"/>
  <c r="M35" i="3"/>
  <c r="L35" i="3"/>
  <c r="A36" i="3"/>
  <c r="M36" i="3"/>
  <c r="L36" i="3"/>
  <c r="A37" i="3"/>
  <c r="M37" i="3"/>
  <c r="L37" i="3"/>
  <c r="A38" i="3"/>
  <c r="M38" i="3"/>
  <c r="L38" i="3"/>
  <c r="A39" i="3"/>
  <c r="M39" i="3"/>
  <c r="L39" i="3"/>
  <c r="A40" i="3"/>
  <c r="M40" i="3"/>
  <c r="L40" i="3"/>
  <c r="A41" i="3"/>
  <c r="M41" i="3"/>
  <c r="L41" i="3"/>
  <c r="A42" i="3"/>
  <c r="M42" i="3"/>
  <c r="L42" i="3"/>
  <c r="A43" i="3"/>
  <c r="M43" i="3"/>
  <c r="L43" i="3"/>
  <c r="A44" i="3"/>
  <c r="M44" i="3"/>
  <c r="L44" i="3"/>
  <c r="A45" i="3"/>
  <c r="M45" i="3"/>
  <c r="L45" i="3"/>
  <c r="A46" i="3"/>
  <c r="M46" i="3"/>
  <c r="L46" i="3"/>
  <c r="A47" i="3"/>
  <c r="M47" i="3"/>
  <c r="L47" i="3"/>
  <c r="A48" i="3"/>
  <c r="M48" i="3"/>
  <c r="L48" i="3"/>
  <c r="A49" i="3"/>
  <c r="M49" i="3"/>
  <c r="L49" i="3"/>
  <c r="A50" i="3"/>
  <c r="M50" i="3"/>
  <c r="L50" i="3"/>
  <c r="A51" i="3"/>
  <c r="M51" i="3"/>
  <c r="L51" i="3"/>
  <c r="A52" i="3"/>
  <c r="M52" i="3"/>
  <c r="L52" i="3"/>
  <c r="S52" i="3"/>
  <c r="E68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H53" i="3"/>
  <c r="E58" i="3"/>
  <c r="E17" i="3"/>
  <c r="O17" i="3"/>
  <c r="F17" i="3"/>
  <c r="N44" i="7"/>
  <c r="M44" i="7"/>
  <c r="O8" i="7"/>
  <c r="O9" i="7"/>
  <c r="O10" i="7"/>
  <c r="O11" i="7"/>
  <c r="O12" i="7"/>
  <c r="O13" i="7"/>
  <c r="O14" i="7"/>
  <c r="O15" i="7"/>
  <c r="O16" i="7"/>
  <c r="O17" i="7"/>
  <c r="O18" i="7"/>
  <c r="O19" i="7"/>
  <c r="O20" i="7"/>
  <c r="O21" i="7"/>
  <c r="O22" i="7"/>
  <c r="O23" i="7"/>
  <c r="O24" i="7"/>
  <c r="O25" i="7"/>
  <c r="O26" i="7"/>
  <c r="O27" i="7"/>
  <c r="O28" i="7"/>
  <c r="O29" i="7"/>
  <c r="O30" i="7"/>
  <c r="O31" i="7"/>
  <c r="O32" i="7"/>
  <c r="O33" i="7"/>
  <c r="O34" i="7"/>
  <c r="O35" i="7"/>
  <c r="O36" i="7"/>
  <c r="O37" i="7"/>
  <c r="O38" i="7"/>
  <c r="O39" i="7"/>
  <c r="O40" i="7"/>
  <c r="O41" i="7"/>
  <c r="O42" i="7"/>
  <c r="O43" i="7"/>
  <c r="O45" i="7"/>
  <c r="N9" i="7"/>
  <c r="N10" i="7"/>
  <c r="N11" i="7"/>
  <c r="N12" i="7"/>
  <c r="N13" i="7"/>
  <c r="N14" i="7"/>
  <c r="N15" i="7"/>
  <c r="N16" i="7"/>
  <c r="N17" i="7"/>
  <c r="N18" i="7"/>
  <c r="N19" i="7"/>
  <c r="N20" i="7"/>
  <c r="N21" i="7"/>
  <c r="N22" i="7"/>
  <c r="N23" i="7"/>
  <c r="N24" i="7"/>
  <c r="N25" i="7"/>
  <c r="N26" i="7"/>
  <c r="N27" i="7"/>
  <c r="N28" i="7"/>
  <c r="N29" i="7"/>
  <c r="N30" i="7"/>
  <c r="N31" i="7"/>
  <c r="N32" i="7"/>
  <c r="N33" i="7"/>
  <c r="N34" i="7"/>
  <c r="N35" i="7"/>
  <c r="N36" i="7"/>
  <c r="N37" i="7"/>
  <c r="N38" i="7"/>
  <c r="N39" i="7"/>
  <c r="N40" i="7"/>
  <c r="N41" i="7"/>
  <c r="N42" i="7"/>
  <c r="N43" i="7"/>
  <c r="N8" i="7"/>
  <c r="R22" i="7" a="1"/>
  <c r="R22" i="7"/>
  <c r="R23" i="7"/>
  <c r="R24" i="7"/>
  <c r="R25" i="7"/>
  <c r="M9" i="7"/>
  <c r="M10" i="7"/>
  <c r="M11" i="7"/>
  <c r="M12" i="7"/>
  <c r="M13" i="7"/>
  <c r="M14" i="7"/>
  <c r="M15" i="7"/>
  <c r="M16" i="7"/>
  <c r="M17" i="7"/>
  <c r="M18" i="7"/>
  <c r="M19" i="7"/>
  <c r="M20" i="7"/>
  <c r="M21" i="7"/>
  <c r="M22" i="7"/>
  <c r="M23" i="7"/>
  <c r="M24" i="7"/>
  <c r="M25" i="7"/>
  <c r="M26" i="7"/>
  <c r="M27" i="7"/>
  <c r="M28" i="7"/>
  <c r="M29" i="7"/>
  <c r="M30" i="7"/>
  <c r="M31" i="7"/>
  <c r="M32" i="7"/>
  <c r="M33" i="7"/>
  <c r="M34" i="7"/>
  <c r="M35" i="7"/>
  <c r="M36" i="7"/>
  <c r="M37" i="7"/>
  <c r="M38" i="7"/>
  <c r="M39" i="7"/>
  <c r="M40" i="7"/>
  <c r="M41" i="7"/>
  <c r="M42" i="7"/>
  <c r="M43" i="7"/>
  <c r="M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8" i="7"/>
  <c r="K9" i="7"/>
  <c r="K10" i="7"/>
  <c r="K11" i="7"/>
  <c r="K12" i="7"/>
  <c r="K13" i="7"/>
  <c r="K14" i="7"/>
  <c r="K15" i="7"/>
  <c r="K16" i="7"/>
  <c r="K17" i="7"/>
  <c r="K18" i="7"/>
  <c r="K19" i="7"/>
  <c r="K20" i="7"/>
  <c r="K21" i="7"/>
  <c r="K22" i="7"/>
  <c r="K23" i="7"/>
  <c r="K24" i="7"/>
  <c r="K25" i="7"/>
  <c r="K26" i="7"/>
  <c r="K27" i="7"/>
  <c r="K28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8" i="7"/>
  <c r="C49" i="7"/>
  <c r="D49" i="7"/>
  <c r="G49" i="7"/>
  <c r="B49" i="7"/>
  <c r="G48" i="7"/>
  <c r="C48" i="7"/>
  <c r="D48" i="7"/>
  <c r="B48" i="7"/>
  <c r="C52" i="7"/>
  <c r="D52" i="7"/>
  <c r="E52" i="7"/>
  <c r="F52" i="7"/>
  <c r="G52" i="7"/>
  <c r="H52" i="7"/>
  <c r="I52" i="7"/>
  <c r="J52" i="7"/>
  <c r="B52" i="7"/>
  <c r="C51" i="7"/>
  <c r="D51" i="7"/>
  <c r="E51" i="7"/>
  <c r="F51" i="7"/>
  <c r="G51" i="7"/>
  <c r="H51" i="7"/>
  <c r="I51" i="7"/>
  <c r="J51" i="7"/>
  <c r="B51" i="7"/>
  <c r="C50" i="7"/>
  <c r="D50" i="7"/>
  <c r="E50" i="7"/>
  <c r="F50" i="7"/>
  <c r="G50" i="7"/>
  <c r="H50" i="7"/>
  <c r="I50" i="7"/>
  <c r="J50" i="7"/>
  <c r="B50" i="7"/>
  <c r="H47" i="7"/>
  <c r="C47" i="7"/>
  <c r="D47" i="7"/>
  <c r="E47" i="7"/>
  <c r="F47" i="7"/>
  <c r="G47" i="7"/>
  <c r="I47" i="7"/>
  <c r="J47" i="7"/>
  <c r="B47" i="7"/>
  <c r="J9" i="7"/>
  <c r="J10" i="7"/>
  <c r="J11" i="7"/>
  <c r="J12" i="7"/>
  <c r="J13" i="7"/>
  <c r="J14" i="7"/>
  <c r="J15" i="7"/>
  <c r="J16" i="7"/>
  <c r="J17" i="7"/>
  <c r="J18" i="7"/>
  <c r="J19" i="7"/>
  <c r="J20" i="7"/>
  <c r="J21" i="7"/>
  <c r="J22" i="7"/>
  <c r="J23" i="7"/>
  <c r="J24" i="7"/>
  <c r="J25" i="7"/>
  <c r="J26" i="7"/>
  <c r="J27" i="7"/>
  <c r="J28" i="7"/>
  <c r="J29" i="7"/>
  <c r="J30" i="7"/>
  <c r="J31" i="7"/>
  <c r="J32" i="7"/>
  <c r="J33" i="7"/>
  <c r="J34" i="7"/>
  <c r="J35" i="7"/>
  <c r="J36" i="7"/>
  <c r="J37" i="7"/>
  <c r="J38" i="7"/>
  <c r="J39" i="7"/>
  <c r="J40" i="7"/>
  <c r="J41" i="7"/>
  <c r="J42" i="7"/>
  <c r="J43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8" i="7"/>
  <c r="H6" i="7"/>
  <c r="H5" i="7"/>
</calcChain>
</file>

<file path=xl/comments1.xml><?xml version="1.0" encoding="utf-8"?>
<comments xmlns="http://schemas.openxmlformats.org/spreadsheetml/2006/main">
  <authors>
    <author>konanap</author>
    <author>Prabhudev Konana</author>
  </authors>
  <commentList>
    <comment ref="I7" authorId="0" shapeId="0">
      <text>
        <r>
          <rPr>
            <b/>
            <sz val="8"/>
            <color indexed="81"/>
            <rFont val="Tahoma"/>
            <family val="2"/>
          </rPr>
          <t>konanap:</t>
        </r>
        <r>
          <rPr>
            <sz val="8"/>
            <color indexed="81"/>
            <rFont val="Tahoma"/>
            <family val="2"/>
          </rPr>
          <t xml:space="preserve">
Use SUMPRODUCT to compute the weighted score.</t>
        </r>
      </text>
    </comment>
    <comment ref="J7" authorId="1" shapeId="0">
      <text>
        <r>
          <rPr>
            <b/>
            <sz val="9"/>
            <color indexed="81"/>
            <rFont val="Calibri"/>
            <family val="2"/>
          </rPr>
          <t>Prabhudev Konana:</t>
        </r>
        <r>
          <rPr>
            <sz val="9"/>
            <color indexed="81"/>
            <rFont val="Calibri"/>
            <family val="2"/>
          </rPr>
          <t xml:space="preserve">
Please pick the best three scores among Exam 1, Exam 2, Exam 3, and Fina.</t>
        </r>
      </text>
    </comment>
    <comment ref="L7" authorId="0" shapeId="0">
      <text>
        <r>
          <rPr>
            <b/>
            <sz val="8"/>
            <color indexed="81"/>
            <rFont val="Tahoma"/>
            <family val="2"/>
          </rPr>
          <t>konanap:</t>
        </r>
        <r>
          <rPr>
            <sz val="8"/>
            <color indexed="81"/>
            <rFont val="Tahoma"/>
            <family val="2"/>
          </rPr>
          <t xml:space="preserve">
Use IF statement to compute the grade.</t>
        </r>
      </text>
    </comment>
    <comment ref="M7" authorId="0" shapeId="0">
      <text>
        <r>
          <rPr>
            <b/>
            <sz val="8"/>
            <color indexed="81"/>
            <rFont val="Tahoma"/>
            <family val="2"/>
          </rPr>
          <t>konanap:</t>
        </r>
        <r>
          <rPr>
            <sz val="8"/>
            <color indexed="81"/>
            <rFont val="Tahoma"/>
            <family val="2"/>
          </rPr>
          <t xml:space="preserve">
COUNT IF Exam 1, 2, and 3 have a score greater than or equal to 43</t>
        </r>
      </text>
    </comment>
    <comment ref="N7" authorId="0" shapeId="0">
      <text>
        <r>
          <rPr>
            <b/>
            <sz val="8"/>
            <color indexed="81"/>
            <rFont val="Tahoma"/>
            <family val="2"/>
          </rPr>
          <t>konanap:</t>
        </r>
        <r>
          <rPr>
            <sz val="8"/>
            <color indexed="81"/>
            <rFont val="Tahoma"/>
            <family val="2"/>
          </rPr>
          <t xml:space="preserve">
Count only if performance is consistently less than 35 for exams 1, 2, and 3</t>
        </r>
      </text>
    </comment>
    <comment ref="A48" authorId="0" shapeId="0">
      <text>
        <r>
          <rPr>
            <b/>
            <sz val="8"/>
            <color indexed="81"/>
            <rFont val="Tahoma"/>
            <family val="2"/>
          </rPr>
          <t>konanap:</t>
        </r>
        <r>
          <rPr>
            <sz val="8"/>
            <color indexed="81"/>
            <rFont val="Tahoma"/>
            <family val="2"/>
          </rPr>
          <t xml:space="preserve">
checkout averageif</t>
        </r>
      </text>
    </comment>
  </commentList>
</comments>
</file>

<file path=xl/sharedStrings.xml><?xml version="1.0" encoding="utf-8"?>
<sst xmlns="http://schemas.openxmlformats.org/spreadsheetml/2006/main" count="144" uniqueCount="114">
  <si>
    <t>Assignment</t>
  </si>
  <si>
    <t>A</t>
  </si>
  <si>
    <t>B</t>
  </si>
  <si>
    <t>C</t>
  </si>
  <si>
    <t>StudentID</t>
  </si>
  <si>
    <t>Exam 1</t>
  </si>
  <si>
    <t>Exam 2</t>
  </si>
  <si>
    <t>Project</t>
  </si>
  <si>
    <t>Weight</t>
  </si>
  <si>
    <t>Max Score</t>
  </si>
  <si>
    <t>Final Grade based on Vlookup</t>
  </si>
  <si>
    <t>Use this for Vlookup</t>
  </si>
  <si>
    <t>D</t>
  </si>
  <si>
    <t>Grade Distribution</t>
  </si>
  <si>
    <t>Bin</t>
  </si>
  <si>
    <t>Frequency</t>
  </si>
  <si>
    <t>Total</t>
  </si>
  <si>
    <t>Average</t>
  </si>
  <si>
    <t>Standard Deviation</t>
  </si>
  <si>
    <t>Maximum</t>
  </si>
  <si>
    <t>Minimum</t>
  </si>
  <si>
    <t>CLASS GRADE ASSIGNMENT</t>
  </si>
  <si>
    <t>Consistently high Performance?</t>
  </si>
  <si>
    <t>Consistently bad performance?</t>
  </si>
  <si>
    <t>Assumptions</t>
  </si>
  <si>
    <t>Withdrawals as percentage of final salary</t>
  </si>
  <si>
    <t>You need to find the withdrawal amount as a percentage of income at year 65</t>
  </si>
  <si>
    <t>Current Earnings</t>
  </si>
  <si>
    <t>Employer 401K contribution</t>
  </si>
  <si>
    <t>Interest rate</t>
  </si>
  <si>
    <t>Current 401K balance</t>
  </si>
  <si>
    <t>Emplyee 401K Contibutions</t>
  </si>
  <si>
    <t>Withdrawal Increase</t>
  </si>
  <si>
    <t>Personal Acct bal</t>
  </si>
  <si>
    <t>Earnings Increase</t>
  </si>
  <si>
    <t>Additional savings to Personal acct</t>
  </si>
  <si>
    <t>Increase in add. Savings</t>
  </si>
  <si>
    <t>Post-Retirement Spending</t>
  </si>
  <si>
    <t>Doe's Age</t>
  </si>
  <si>
    <t>Starting Balance</t>
  </si>
  <si>
    <t>Withdrawals</t>
  </si>
  <si>
    <t>Ending Balance</t>
  </si>
  <si>
    <t>Age</t>
  </si>
  <si>
    <t>RETIREMENT MANAGEMENT</t>
  </si>
  <si>
    <t>ASSUMPTIONS</t>
  </si>
  <si>
    <t>SENSITIVITY ANALYSIS (WHAT-IF ANALYSIS)</t>
  </si>
  <si>
    <t>Average Market Return</t>
  </si>
  <si>
    <t>Increase in Earnings</t>
  </si>
  <si>
    <t>Vacation Withdrawal (Max)</t>
  </si>
  <si>
    <t>Vacation Withdrawal (%)</t>
  </si>
  <si>
    <t>Years for Vacation</t>
  </si>
  <si>
    <t>Beginning Year for Vacation</t>
  </si>
  <si>
    <t>Feel free to add or delete columns to make your calculations easier.</t>
  </si>
  <si>
    <t>Exam 3</t>
  </si>
  <si>
    <t>Weighted Score Using simple method</t>
  </si>
  <si>
    <t>Weighted Score using SumProduct</t>
  </si>
  <si>
    <t>Average of students with scores &gt;= 45</t>
  </si>
  <si>
    <t>Average of students with scores &lt;= 40</t>
  </si>
  <si>
    <t>Final</t>
  </si>
  <si>
    <t>Weighted Score with best three</t>
  </si>
  <si>
    <t>End of Year Bonus</t>
  </si>
  <si>
    <t>Gift to Grand Children</t>
  </si>
  <si>
    <t>B+</t>
  </si>
  <si>
    <t>Fraction of Bonus Invested in the Market</t>
  </si>
  <si>
    <t>A-</t>
  </si>
  <si>
    <t>F</t>
  </si>
  <si>
    <t>C-</t>
  </si>
  <si>
    <t>C+</t>
  </si>
  <si>
    <t>B-</t>
  </si>
  <si>
    <t>GPA</t>
  </si>
  <si>
    <t>Class GPA Mean:</t>
  </si>
  <si>
    <t>Grade</t>
  </si>
  <si>
    <t>Lower Bound</t>
  </si>
  <si>
    <t>Donation to charity</t>
  </si>
  <si>
    <t>Final Grade based on IF - OPTIONAL</t>
  </si>
  <si>
    <t>Aggressive mutual Funds</t>
  </si>
  <si>
    <t>Bonds &amp; other fixed income funds</t>
  </si>
  <si>
    <t>Cash</t>
  </si>
  <si>
    <t>Expected returns</t>
  </si>
  <si>
    <t>Totals</t>
  </si>
  <si>
    <t>Salary</t>
  </si>
  <si>
    <t>Salary to 401k</t>
  </si>
  <si>
    <t>Salary to Vacation</t>
  </si>
  <si>
    <t>Current Amount in 401k</t>
  </si>
  <si>
    <t>Current in Personal Account</t>
  </si>
  <si>
    <t>Employer to 401k</t>
  </si>
  <si>
    <t>32, 34, 36, 38, 40, etc.</t>
  </si>
  <si>
    <t>Years since Creation</t>
  </si>
  <si>
    <t>Personal Account Earnings</t>
  </si>
  <si>
    <t>Vacation?</t>
  </si>
  <si>
    <t>30% of Salary Gains</t>
  </si>
  <si>
    <t>Bonus</t>
  </si>
  <si>
    <t>Salary and Bonus to Personal Account</t>
  </si>
  <si>
    <t>Work Additions to 401k</t>
  </si>
  <si>
    <t>Amount Earned in 401k</t>
  </si>
  <si>
    <t>Total Amount</t>
  </si>
  <si>
    <t>Total Amount Without Vacation</t>
  </si>
  <si>
    <t>Current in Personal w/o Vacation</t>
  </si>
  <si>
    <t>Earnings w/o Vacation</t>
  </si>
  <si>
    <t>Sensitivity With Vacation</t>
  </si>
  <si>
    <t>Sensitivity Without Vacation</t>
  </si>
  <si>
    <t>Current Amount (No Vacation, All Bonus to market)</t>
  </si>
  <si>
    <t>Earnings (No Vacation, All bonus to Market)</t>
  </si>
  <si>
    <t>Total Amount (No Vacation, All bonus to market)</t>
  </si>
  <si>
    <t>Salary and Bonus to Account</t>
  </si>
  <si>
    <t>Sensitivity Without Vacation (100% of Bonus to Market)</t>
  </si>
  <si>
    <t>Money Saved for Retirement</t>
  </si>
  <si>
    <t>Recession?</t>
  </si>
  <si>
    <t>Type of Recession</t>
  </si>
  <si>
    <t>Market Decline</t>
  </si>
  <si>
    <t>Total Value</t>
  </si>
  <si>
    <t>401k Input</t>
  </si>
  <si>
    <t>401k Earnings</t>
  </si>
  <si>
    <t>Total in 401k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</si>
</sst>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0.0"/>
    <numFmt numFmtId="165" formatCode="&quot;$&quot;#,##0"/>
    <numFmt numFmtId="166" formatCode="_(&quot;$&quot;* #,##0_);_(&quot;$&quot;* \(#,##0\);_(&quot;$&quot;* &quot;-&quot;??_);_(@_)"/>
    <numFmt numFmtId="168" formatCode="0.0%"/>
  </numFmts>
  <fonts count="3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8"/>
      <color theme="9" tint="-0.249977111117893"/>
      <name val="Calibri"/>
      <family val="2"/>
      <scheme val="minor"/>
    </font>
    <font>
      <b/>
      <sz val="18"/>
      <name val="Arial"/>
      <family val="2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2"/>
      <color rgb="FF002060"/>
      <name val="Calibri"/>
      <family val="2"/>
      <scheme val="minor"/>
    </font>
    <font>
      <b/>
      <sz val="12"/>
      <color indexed="10"/>
      <name val="Arial"/>
      <family val="2"/>
    </font>
    <font>
      <b/>
      <sz val="12"/>
      <name val="Arial"/>
      <family val="2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sz val="18"/>
      <color theme="0"/>
      <name val="Calibri"/>
      <scheme val="minor"/>
    </font>
    <font>
      <b/>
      <sz val="14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</font>
    <font>
      <sz val="12"/>
      <color theme="1"/>
      <name val="Calibri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6"/>
      <color theme="1"/>
      <name val="Calibri"/>
      <family val="2"/>
      <scheme val="minor"/>
    </font>
    <font>
      <sz val="24"/>
      <color theme="1"/>
      <name val="Calibri"/>
      <scheme val="minor"/>
    </font>
    <font>
      <sz val="24"/>
      <color theme="0"/>
      <name val="Calibri"/>
      <scheme val="minor"/>
    </font>
    <font>
      <b/>
      <sz val="16"/>
      <color theme="1"/>
      <name val="Calibri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1"/>
      <name val="Arial"/>
      <family val="2"/>
    </font>
    <font>
      <sz val="18"/>
      <name val="Arial"/>
      <family val="2"/>
    </font>
    <font>
      <sz val="1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0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theme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5">
    <xf numFmtId="0" fontId="0" fillId="0" borderId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68">
    <xf numFmtId="0" fontId="0" fillId="0" borderId="0" xfId="0"/>
    <xf numFmtId="0" fontId="0" fillId="0" borderId="0" xfId="0" applyAlignment="1">
      <alignment vertical="center"/>
    </xf>
    <xf numFmtId="0" fontId="8" fillId="0" borderId="0" xfId="0" applyFont="1"/>
    <xf numFmtId="0" fontId="0" fillId="0" borderId="0" xfId="0" applyAlignment="1">
      <alignment wrapText="1"/>
    </xf>
    <xf numFmtId="0" fontId="5" fillId="4" borderId="2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0" fillId="7" borderId="12" xfId="0" applyFill="1" applyBorder="1"/>
    <xf numFmtId="0" fontId="10" fillId="7" borderId="1" xfId="0" applyFont="1" applyFill="1" applyBorder="1" applyAlignment="1">
      <alignment vertical="center" wrapText="1"/>
    </xf>
    <xf numFmtId="0" fontId="0" fillId="7" borderId="7" xfId="0" applyFont="1" applyFill="1" applyBorder="1" applyAlignment="1">
      <alignment vertical="center" wrapText="1"/>
    </xf>
    <xf numFmtId="0" fontId="11" fillId="0" borderId="0" xfId="0" applyFont="1"/>
    <xf numFmtId="165" fontId="5" fillId="8" borderId="3" xfId="0" applyNumberFormat="1" applyFont="1" applyFill="1" applyBorder="1"/>
    <xf numFmtId="9" fontId="5" fillId="8" borderId="4" xfId="0" applyNumberFormat="1" applyFont="1" applyFill="1" applyBorder="1"/>
    <xf numFmtId="9" fontId="5" fillId="8" borderId="5" xfId="0" applyNumberFormat="1" applyFont="1" applyFill="1" applyBorder="1"/>
    <xf numFmtId="165" fontId="4" fillId="8" borderId="1" xfId="0" applyNumberFormat="1" applyFont="1" applyFill="1" applyBorder="1"/>
    <xf numFmtId="165" fontId="4" fillId="8" borderId="2" xfId="0" applyNumberFormat="1" applyFont="1" applyFill="1" applyBorder="1"/>
    <xf numFmtId="165" fontId="4" fillId="8" borderId="11" xfId="0" applyNumberFormat="1" applyFont="1" applyFill="1" applyBorder="1"/>
    <xf numFmtId="165" fontId="4" fillId="8" borderId="15" xfId="0" applyNumberFormat="1" applyFont="1" applyFill="1" applyBorder="1"/>
    <xf numFmtId="165" fontId="4" fillId="8" borderId="16" xfId="0" applyNumberFormat="1" applyFont="1" applyFill="1" applyBorder="1"/>
    <xf numFmtId="9" fontId="5" fillId="8" borderId="6" xfId="0" applyNumberFormat="1" applyFont="1" applyFill="1" applyBorder="1"/>
    <xf numFmtId="165" fontId="4" fillId="8" borderId="7" xfId="0" applyNumberFormat="1" applyFont="1" applyFill="1" applyBorder="1"/>
    <xf numFmtId="0" fontId="4" fillId="0" borderId="0" xfId="0" applyFont="1" applyFill="1"/>
    <xf numFmtId="0" fontId="0" fillId="0" borderId="0" xfId="0" applyFill="1"/>
    <xf numFmtId="0" fontId="4" fillId="0" borderId="0" xfId="0" applyFont="1" applyFill="1" applyBorder="1"/>
    <xf numFmtId="0" fontId="5" fillId="0" borderId="0" xfId="0" applyFont="1" applyBorder="1" applyAlignment="1">
      <alignment horizontal="center"/>
    </xf>
    <xf numFmtId="0" fontId="2" fillId="0" borderId="0" xfId="0" applyFont="1"/>
    <xf numFmtId="9" fontId="11" fillId="0" borderId="0" xfId="0" applyNumberFormat="1" applyFont="1"/>
    <xf numFmtId="0" fontId="14" fillId="0" borderId="0" xfId="0" applyFont="1" applyAlignment="1">
      <alignment horizontal="center"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2" fillId="9" borderId="0" xfId="0" applyFont="1" applyFill="1" applyAlignment="1">
      <alignment horizontal="center" vertical="center"/>
    </xf>
    <xf numFmtId="164" fontId="2" fillId="9" borderId="0" xfId="0" applyNumberFormat="1" applyFont="1" applyFill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4" borderId="1" xfId="0" applyFont="1" applyFill="1" applyBorder="1"/>
    <xf numFmtId="0" fontId="2" fillId="4" borderId="1" xfId="0" applyNumberFormat="1" applyFont="1" applyFill="1" applyBorder="1"/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0" fontId="2" fillId="0" borderId="17" xfId="0" applyFont="1" applyBorder="1" applyAlignment="1">
      <alignment horizontal="center" vertical="center"/>
    </xf>
    <xf numFmtId="164" fontId="2" fillId="0" borderId="17" xfId="0" applyNumberFormat="1" applyFont="1" applyBorder="1" applyAlignment="1">
      <alignment horizontal="center" vertical="center"/>
    </xf>
    <xf numFmtId="0" fontId="15" fillId="3" borderId="1" xfId="0" applyFont="1" applyFill="1" applyBorder="1" applyAlignment="1">
      <alignment wrapText="1"/>
    </xf>
    <xf numFmtId="0" fontId="14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Fill="1" applyBorder="1"/>
    <xf numFmtId="166" fontId="0" fillId="4" borderId="1" xfId="1" applyNumberFormat="1" applyFont="1" applyFill="1" applyBorder="1"/>
    <xf numFmtId="0" fontId="5" fillId="4" borderId="18" xfId="0" applyFont="1" applyFill="1" applyBorder="1" applyAlignment="1">
      <alignment horizontal="center" vertical="center" wrapText="1"/>
    </xf>
    <xf numFmtId="0" fontId="19" fillId="10" borderId="0" xfId="0" applyFont="1" applyFill="1"/>
    <xf numFmtId="0" fontId="0" fillId="0" borderId="0" xfId="0" applyFill="1" applyBorder="1" applyAlignment="1">
      <alignment wrapText="1"/>
    </xf>
    <xf numFmtId="9" fontId="5" fillId="0" borderId="0" xfId="2" applyFont="1" applyFill="1" applyBorder="1" applyAlignment="1">
      <alignment wrapText="1"/>
    </xf>
    <xf numFmtId="1" fontId="5" fillId="0" borderId="0" xfId="0" applyNumberFormat="1" applyFont="1" applyFill="1" applyBorder="1" applyAlignment="1">
      <alignment wrapText="1"/>
    </xf>
    <xf numFmtId="9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Fill="1" applyBorder="1"/>
    <xf numFmtId="165" fontId="20" fillId="5" borderId="1" xfId="0" applyNumberFormat="1" applyFont="1" applyFill="1" applyBorder="1" applyAlignment="1">
      <alignment wrapText="1"/>
    </xf>
    <xf numFmtId="9" fontId="20" fillId="5" borderId="1" xfId="0" applyNumberFormat="1" applyFont="1" applyFill="1" applyBorder="1" applyAlignment="1">
      <alignment wrapText="1"/>
    </xf>
    <xf numFmtId="6" fontId="20" fillId="5" borderId="1" xfId="0" applyNumberFormat="1" applyFont="1" applyFill="1" applyBorder="1" applyAlignment="1">
      <alignment wrapText="1"/>
    </xf>
    <xf numFmtId="1" fontId="20" fillId="5" borderId="1" xfId="0" applyNumberFormat="1" applyFont="1" applyFill="1" applyBorder="1" applyAlignment="1">
      <alignment wrapText="1"/>
    </xf>
    <xf numFmtId="9" fontId="20" fillId="5" borderId="1" xfId="2" applyFont="1" applyFill="1" applyBorder="1" applyAlignment="1">
      <alignment wrapText="1"/>
    </xf>
    <xf numFmtId="0" fontId="21" fillId="5" borderId="1" xfId="0" applyFont="1" applyFill="1" applyBorder="1" applyAlignment="1">
      <alignment wrapText="1"/>
    </xf>
    <xf numFmtId="9" fontId="21" fillId="5" borderId="1" xfId="0" applyNumberFormat="1" applyFont="1" applyFill="1" applyBorder="1"/>
    <xf numFmtId="6" fontId="21" fillId="5" borderId="1" xfId="0" applyNumberFormat="1" applyFont="1" applyFill="1" applyBorder="1"/>
    <xf numFmtId="0" fontId="22" fillId="0" borderId="19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20" xfId="0" applyFont="1" applyBorder="1" applyAlignment="1">
      <alignment horizontal="center" vertical="center" wrapText="1"/>
    </xf>
    <xf numFmtId="9" fontId="23" fillId="0" borderId="21" xfId="0" applyNumberFormat="1" applyFont="1" applyBorder="1" applyAlignment="1">
      <alignment horizontal="center" vertical="center" wrapText="1"/>
    </xf>
    <xf numFmtId="0" fontId="23" fillId="0" borderId="21" xfId="0" applyFont="1" applyBorder="1" applyAlignment="1">
      <alignment horizontal="center" vertical="center" wrapText="1"/>
    </xf>
    <xf numFmtId="0" fontId="1" fillId="5" borderId="1" xfId="0" applyFont="1" applyFill="1" applyBorder="1"/>
    <xf numFmtId="0" fontId="16" fillId="5" borderId="1" xfId="0" applyFont="1" applyFill="1" applyBorder="1" applyAlignment="1">
      <alignment horizontal="center"/>
    </xf>
    <xf numFmtId="0" fontId="1" fillId="0" borderId="0" xfId="0" applyFont="1"/>
    <xf numFmtId="0" fontId="24" fillId="7" borderId="4" xfId="0" applyFont="1" applyFill="1" applyBorder="1"/>
    <xf numFmtId="0" fontId="1" fillId="0" borderId="0" xfId="0" applyFont="1" applyAlignment="1">
      <alignment wrapText="1"/>
    </xf>
    <xf numFmtId="0" fontId="26" fillId="0" borderId="0" xfId="0" applyFont="1"/>
    <xf numFmtId="0" fontId="11" fillId="5" borderId="1" xfId="0" applyFont="1" applyFill="1" applyBorder="1"/>
    <xf numFmtId="0" fontId="22" fillId="0" borderId="1" xfId="0" applyFont="1" applyBorder="1" applyAlignment="1">
      <alignment horizontal="center" vertical="center" wrapText="1"/>
    </xf>
    <xf numFmtId="9" fontId="22" fillId="0" borderId="1" xfId="0" applyNumberFormat="1" applyFont="1" applyBorder="1" applyAlignment="1">
      <alignment horizontal="center" vertical="center" wrapText="1"/>
    </xf>
    <xf numFmtId="0" fontId="5" fillId="4" borderId="16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24" fillId="0" borderId="0" xfId="0" applyFont="1" applyFill="1" applyBorder="1"/>
    <xf numFmtId="0" fontId="1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25" fillId="7" borderId="1" xfId="0" applyFont="1" applyFill="1" applyBorder="1" applyAlignment="1">
      <alignment vertical="center" wrapText="1"/>
    </xf>
    <xf numFmtId="9" fontId="25" fillId="7" borderId="1" xfId="0" applyNumberFormat="1" applyFont="1" applyFill="1" applyBorder="1" applyAlignment="1">
      <alignment vertical="center" wrapText="1"/>
    </xf>
    <xf numFmtId="0" fontId="25" fillId="7" borderId="7" xfId="0" applyFont="1" applyFill="1" applyBorder="1" applyAlignment="1">
      <alignment vertical="center" wrapText="1"/>
    </xf>
    <xf numFmtId="6" fontId="25" fillId="7" borderId="7" xfId="0" applyNumberFormat="1" applyFont="1" applyFill="1" applyBorder="1" applyAlignment="1">
      <alignment vertical="center" wrapText="1"/>
    </xf>
    <xf numFmtId="0" fontId="21" fillId="0" borderId="0" xfId="0" applyFont="1" applyAlignment="1">
      <alignment wrapText="1"/>
    </xf>
    <xf numFmtId="10" fontId="21" fillId="0" borderId="0" xfId="0" applyNumberFormat="1" applyFont="1" applyAlignment="1">
      <alignment wrapText="1"/>
    </xf>
    <xf numFmtId="10" fontId="2" fillId="0" borderId="0" xfId="2" applyNumberFormat="1" applyFont="1" applyFill="1" applyBorder="1" applyAlignment="1">
      <alignment horizontal="center" vertical="center"/>
    </xf>
    <xf numFmtId="0" fontId="0" fillId="0" borderId="0" xfId="0" applyBorder="1"/>
    <xf numFmtId="10" fontId="2" fillId="0" borderId="22" xfId="2" applyNumberFormat="1" applyFont="1" applyFill="1" applyBorder="1" applyAlignment="1">
      <alignment horizontal="center" vertical="center"/>
    </xf>
    <xf numFmtId="2" fontId="16" fillId="11" borderId="1" xfId="0" applyNumberFormat="1" applyFont="1" applyFill="1" applyBorder="1"/>
    <xf numFmtId="10" fontId="2" fillId="11" borderId="1" xfId="2" applyNumberFormat="1" applyFont="1" applyFill="1" applyBorder="1" applyAlignment="1">
      <alignment horizontal="center" vertical="center"/>
    </xf>
    <xf numFmtId="0" fontId="2" fillId="11" borderId="1" xfId="0" applyFont="1" applyFill="1" applyBorder="1"/>
    <xf numFmtId="10" fontId="2" fillId="0" borderId="23" xfId="2" applyNumberFormat="1" applyFont="1" applyFill="1" applyBorder="1" applyAlignment="1">
      <alignment horizontal="center" vertical="center"/>
    </xf>
    <xf numFmtId="0" fontId="27" fillId="4" borderId="0" xfId="0" applyFont="1" applyFill="1"/>
    <xf numFmtId="0" fontId="27" fillId="0" borderId="0" xfId="0" applyFont="1"/>
    <xf numFmtId="0" fontId="28" fillId="10" borderId="0" xfId="0" applyFont="1" applyFill="1"/>
    <xf numFmtId="0" fontId="29" fillId="0" borderId="0" xfId="0" applyFont="1"/>
    <xf numFmtId="0" fontId="29" fillId="0" borderId="0" xfId="0" applyFont="1" applyFill="1" applyBorder="1"/>
    <xf numFmtId="0" fontId="29" fillId="0" borderId="0" xfId="0" applyFont="1" applyAlignment="1">
      <alignment horizontal="center"/>
    </xf>
    <xf numFmtId="0" fontId="29" fillId="0" borderId="0" xfId="0" applyFont="1" applyAlignment="1">
      <alignment horizontal="center" vertical="center"/>
    </xf>
    <xf numFmtId="0" fontId="26" fillId="0" borderId="0" xfId="0" applyNumberFormat="1" applyFont="1"/>
    <xf numFmtId="0" fontId="29" fillId="0" borderId="0" xfId="0" applyNumberFormat="1" applyFont="1"/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168" fontId="2" fillId="4" borderId="1" xfId="2" applyNumberFormat="1" applyFont="1" applyFill="1" applyBorder="1" applyAlignment="1">
      <alignment horizontal="center" vertical="center"/>
    </xf>
    <xf numFmtId="168" fontId="2" fillId="4" borderId="15" xfId="2" applyNumberFormat="1" applyFont="1" applyFill="1" applyBorder="1" applyAlignment="1">
      <alignment horizontal="center" vertical="center"/>
    </xf>
    <xf numFmtId="9" fontId="29" fillId="0" borderId="0" xfId="0" applyNumberFormat="1" applyFont="1" applyAlignment="1">
      <alignment horizontal="center"/>
    </xf>
    <xf numFmtId="9" fontId="29" fillId="0" borderId="0" xfId="0" applyNumberFormat="1" applyFont="1" applyAlignment="1">
      <alignment horizontal="center" vertical="center"/>
    </xf>
    <xf numFmtId="168" fontId="16" fillId="11" borderId="1" xfId="2" applyNumberFormat="1" applyFont="1" applyFill="1" applyBorder="1"/>
    <xf numFmtId="164" fontId="16" fillId="11" borderId="1" xfId="0" applyNumberFormat="1" applyFont="1" applyFill="1" applyBorder="1"/>
    <xf numFmtId="9" fontId="29" fillId="0" borderId="0" xfId="0" applyNumberFormat="1" applyFont="1"/>
    <xf numFmtId="2" fontId="2" fillId="2" borderId="0" xfId="0" applyNumberFormat="1" applyFont="1" applyFill="1"/>
    <xf numFmtId="0" fontId="20" fillId="5" borderId="1" xfId="2" applyNumberFormat="1" applyFont="1" applyFill="1" applyBorder="1" applyAlignment="1">
      <alignment wrapText="1"/>
    </xf>
    <xf numFmtId="0" fontId="0" fillId="7" borderId="11" xfId="1" applyNumberFormat="1" applyFont="1" applyFill="1" applyBorder="1"/>
    <xf numFmtId="0" fontId="31" fillId="4" borderId="0" xfId="0" applyFont="1" applyFill="1" applyAlignment="1">
      <alignment vertical="center" wrapText="1"/>
    </xf>
    <xf numFmtId="44" fontId="0" fillId="4" borderId="1" xfId="1" applyFont="1" applyFill="1" applyBorder="1"/>
    <xf numFmtId="166" fontId="4" fillId="0" borderId="0" xfId="1" applyNumberFormat="1" applyFont="1" applyFill="1" applyBorder="1"/>
    <xf numFmtId="2" fontId="21" fillId="5" borderId="1" xfId="0" applyNumberFormat="1" applyFont="1" applyFill="1" applyBorder="1"/>
    <xf numFmtId="166" fontId="0" fillId="4" borderId="1" xfId="1" applyNumberFormat="1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horizontal="center"/>
    </xf>
    <xf numFmtId="0" fontId="0" fillId="4" borderId="1" xfId="0" applyFill="1" applyBorder="1"/>
    <xf numFmtId="166" fontId="0" fillId="4" borderId="1" xfId="0" applyNumberFormat="1" applyFill="1" applyBorder="1"/>
    <xf numFmtId="0" fontId="31" fillId="4" borderId="1" xfId="0" applyFont="1" applyFill="1" applyBorder="1" applyAlignment="1">
      <alignment vertical="center" wrapText="1"/>
    </xf>
    <xf numFmtId="9" fontId="5" fillId="12" borderId="0" xfId="0" applyNumberFormat="1" applyFont="1" applyFill="1" applyBorder="1"/>
    <xf numFmtId="165" fontId="4" fillId="12" borderId="0" xfId="0" applyNumberFormat="1" applyFont="1" applyFill="1" applyBorder="1"/>
    <xf numFmtId="9" fontId="5" fillId="8" borderId="24" xfId="0" applyNumberFormat="1" applyFont="1" applyFill="1" applyBorder="1"/>
    <xf numFmtId="165" fontId="4" fillId="8" borderId="25" xfId="0" applyNumberFormat="1" applyFont="1" applyFill="1" applyBorder="1"/>
    <xf numFmtId="9" fontId="5" fillId="12" borderId="1" xfId="0" applyNumberFormat="1" applyFont="1" applyFill="1" applyBorder="1"/>
    <xf numFmtId="165" fontId="4" fillId="12" borderId="1" xfId="0" applyNumberFormat="1" applyFont="1" applyFill="1" applyBorder="1"/>
    <xf numFmtId="165" fontId="5" fillId="8" borderId="2" xfId="0" applyNumberFormat="1" applyFont="1" applyFill="1" applyBorder="1"/>
    <xf numFmtId="165" fontId="32" fillId="8" borderId="19" xfId="0" applyNumberFormat="1" applyFont="1" applyFill="1" applyBorder="1"/>
    <xf numFmtId="166" fontId="0" fillId="0" borderId="0" xfId="0" applyNumberFormat="1"/>
    <xf numFmtId="166" fontId="30" fillId="4" borderId="1" xfId="0" applyNumberFormat="1" applyFont="1" applyFill="1" applyBorder="1"/>
    <xf numFmtId="44" fontId="30" fillId="4" borderId="1" xfId="1" applyFont="1" applyFill="1" applyBorder="1"/>
    <xf numFmtId="166" fontId="30" fillId="4" borderId="1" xfId="1" applyNumberFormat="1" applyFont="1" applyFill="1" applyBorder="1"/>
    <xf numFmtId="0" fontId="0" fillId="0" borderId="0" xfId="0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9" fontId="0" fillId="0" borderId="0" xfId="0" applyNumberFormat="1"/>
    <xf numFmtId="0" fontId="34" fillId="0" borderId="0" xfId="0" applyFont="1" applyAlignment="1">
      <alignment horizontal="center" wrapText="1"/>
    </xf>
    <xf numFmtId="0" fontId="36" fillId="0" borderId="13" xfId="0" applyFont="1" applyBorder="1" applyAlignment="1">
      <alignment horizontal="center"/>
    </xf>
    <xf numFmtId="0" fontId="36" fillId="0" borderId="14" xfId="0" applyFont="1" applyBorder="1" applyAlignment="1">
      <alignment horizontal="center" vertical="center" wrapText="1"/>
    </xf>
    <xf numFmtId="166" fontId="4" fillId="8" borderId="1" xfId="0" applyNumberFormat="1" applyFont="1" applyFill="1" applyBorder="1"/>
    <xf numFmtId="9" fontId="4" fillId="8" borderId="1" xfId="0" applyNumberFormat="1" applyFont="1" applyFill="1" applyBorder="1"/>
    <xf numFmtId="166" fontId="4" fillId="8" borderId="1" xfId="1" applyNumberFormat="1" applyFont="1" applyFill="1" applyBorder="1"/>
    <xf numFmtId="166" fontId="4" fillId="8" borderId="11" xfId="1" applyNumberFormat="1" applyFont="1" applyFill="1" applyBorder="1"/>
    <xf numFmtId="166" fontId="4" fillId="8" borderId="15" xfId="1" applyNumberFormat="1" applyFont="1" applyFill="1" applyBorder="1"/>
    <xf numFmtId="166" fontId="4" fillId="8" borderId="2" xfId="1" applyNumberFormat="1" applyFont="1" applyFill="1" applyBorder="1"/>
    <xf numFmtId="166" fontId="4" fillId="8" borderId="16" xfId="1" applyNumberFormat="1" applyFont="1" applyFill="1" applyBorder="1"/>
    <xf numFmtId="166" fontId="32" fillId="8" borderId="19" xfId="1" applyNumberFormat="1" applyFont="1" applyFill="1" applyBorder="1"/>
    <xf numFmtId="166" fontId="37" fillId="4" borderId="1" xfId="0" applyNumberFormat="1" applyFont="1" applyFill="1" applyBorder="1"/>
    <xf numFmtId="44" fontId="0" fillId="4" borderId="0" xfId="1" applyFont="1" applyFill="1"/>
    <xf numFmtId="166" fontId="0" fillId="0" borderId="0" xfId="1" applyNumberFormat="1" applyFont="1"/>
    <xf numFmtId="44" fontId="0" fillId="0" borderId="0" xfId="0" applyNumberFormat="1"/>
    <xf numFmtId="166" fontId="21" fillId="0" borderId="0" xfId="0" applyNumberFormat="1" applyFont="1"/>
    <xf numFmtId="166" fontId="0" fillId="7" borderId="12" xfId="0" applyNumberFormat="1" applyFill="1" applyBorder="1"/>
    <xf numFmtId="9" fontId="21" fillId="5" borderId="1" xfId="0" applyNumberFormat="1" applyFont="1" applyFill="1" applyBorder="1" applyAlignment="1">
      <alignment wrapText="1"/>
    </xf>
    <xf numFmtId="9" fontId="0" fillId="0" borderId="0" xfId="2" applyFont="1"/>
    <xf numFmtId="166" fontId="0" fillId="4" borderId="11" xfId="1" applyNumberFormat="1" applyFont="1" applyFill="1" applyBorder="1"/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 wrapText="1"/>
    </xf>
    <xf numFmtId="9" fontId="0" fillId="4" borderId="1" xfId="2" applyFont="1" applyFill="1" applyBorder="1" applyAlignment="1">
      <alignment vertical="center"/>
    </xf>
    <xf numFmtId="0" fontId="5" fillId="4" borderId="26" xfId="0" applyFont="1" applyFill="1" applyBorder="1" applyAlignment="1">
      <alignment horizontal="center" vertical="center" wrapText="1"/>
    </xf>
  </cellXfs>
  <cellStyles count="45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Normal" xfId="0" builtinId="0"/>
    <cellStyle name="Percent" xfId="2" builtinId="5"/>
  </cellStyles>
  <dxfs count="1"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mruColors>
      <color rgb="FFFFFFCC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Pr>
        <a:bodyPr vertOverflow="overflow" horzOverflow="overflow" wrap="square" lIns="0" tIns="0" rIns="0" bIns="0"/>
        <a:lstStyle/>
        <a:p>
          <a:pPr algn="ctr" rtl="0">
            <a:defRPr sz="1400" b="0">
              <a:solidFill>
                <a:srgbClr val="595959"/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r>
            <a:rPr lang="en-US" sz="1400" b="0">
              <a:solidFill>
                <a:srgbClr val="595959"/>
              </a:solidFill>
              <a:latin typeface="Calibri" panose="020F0502020204030204" pitchFamily="34" charset="0"/>
            </a:rPr>
            <a:t>Chart Title</a:t>
          </a:r>
        </a:p>
      </cx:txPr>
    </cx:title>
    <cx:plotArea>
      <cx:plotAreaRegion>
        <cx:series layoutId="clusteredColumn" uniqueId="{DDEB6B3A-678A-4153-BF86-DABF176EB649}">
          <cx:dataId val="0"/>
          <cx:layoutPr>
            <cx:binning intervalClosed="r"/>
          </cx:layoutPr>
        </cx:series>
      </cx:plotAreaRegion>
      <cx:axis id="0">
        <cx:catScaling gapWidth="1"/>
        <cx:tickLabels/>
      </cx:axis>
      <cx:axis id="1">
        <cx:valScaling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186690</xdr:colOff>
      <xdr:row>4</xdr:row>
      <xdr:rowOff>11430</xdr:rowOff>
    </xdr:from>
    <xdr:to>
      <xdr:col>13</xdr:col>
      <xdr:colOff>491490</xdr:colOff>
      <xdr:row>19</xdr:row>
      <xdr:rowOff>11430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44290" y="74295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P18" sqref="P18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S115"/>
  <sheetViews>
    <sheetView topLeftCell="K4" zoomScaleNormal="100" workbookViewId="0">
      <selection activeCell="O45" sqref="O45"/>
    </sheetView>
  </sheetViews>
  <sheetFormatPr defaultColWidth="11.44140625" defaultRowHeight="14.4" x14ac:dyDescent="0.3"/>
  <cols>
    <col min="1" max="1" width="14" customWidth="1"/>
    <col min="5" max="5" width="15" customWidth="1"/>
    <col min="8" max="8" width="13.33203125" customWidth="1"/>
    <col min="9" max="9" width="14.44140625" customWidth="1"/>
    <col min="10" max="11" width="13" customWidth="1"/>
    <col min="12" max="12" width="12.6640625" customWidth="1"/>
    <col min="13" max="13" width="16" customWidth="1"/>
    <col min="14" max="14" width="16.33203125" customWidth="1"/>
    <col min="17" max="17" width="20" bestFit="1" customWidth="1"/>
  </cols>
  <sheetData>
    <row r="2" spans="1:19" ht="23.4" x14ac:dyDescent="0.45">
      <c r="A2" s="2" t="s">
        <v>21</v>
      </c>
    </row>
    <row r="4" spans="1:19" ht="15.6" x14ac:dyDescent="0.3">
      <c r="A4" s="26"/>
      <c r="B4" s="28" t="s">
        <v>5</v>
      </c>
      <c r="C4" s="28" t="s">
        <v>6</v>
      </c>
      <c r="D4" s="28" t="s">
        <v>53</v>
      </c>
      <c r="E4" s="28" t="s">
        <v>0</v>
      </c>
      <c r="F4" s="28" t="s">
        <v>7</v>
      </c>
      <c r="G4" s="28" t="s">
        <v>58</v>
      </c>
      <c r="H4" s="26" t="s">
        <v>16</v>
      </c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</row>
    <row r="5" spans="1:19" ht="15.6" x14ac:dyDescent="0.3">
      <c r="A5" s="11" t="s">
        <v>8</v>
      </c>
      <c r="B5" s="27">
        <v>0.2</v>
      </c>
      <c r="C5" s="27">
        <v>0.2</v>
      </c>
      <c r="D5" s="27">
        <v>0.2</v>
      </c>
      <c r="E5" s="27">
        <v>0.15</v>
      </c>
      <c r="F5" s="27">
        <v>0.05</v>
      </c>
      <c r="G5" s="27">
        <v>0.2</v>
      </c>
      <c r="H5" s="27">
        <f>SUM(B5:G5)</f>
        <v>1.0000000000000002</v>
      </c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</row>
    <row r="6" spans="1:19" ht="15.6" x14ac:dyDescent="0.3">
      <c r="A6" s="11" t="s">
        <v>9</v>
      </c>
      <c r="B6" s="11">
        <v>50</v>
      </c>
      <c r="C6" s="11">
        <v>50</v>
      </c>
      <c r="D6" s="11">
        <v>50</v>
      </c>
      <c r="E6" s="11">
        <v>20</v>
      </c>
      <c r="F6" s="11">
        <v>40</v>
      </c>
      <c r="G6" s="11">
        <v>50</v>
      </c>
      <c r="H6" s="11">
        <f>SUM(B6:G6)</f>
        <v>260</v>
      </c>
      <c r="I6" s="26"/>
      <c r="J6" s="26"/>
      <c r="K6" s="26"/>
      <c r="L6" s="26"/>
      <c r="M6" s="26"/>
      <c r="N6" s="26"/>
      <c r="O6" s="26"/>
      <c r="P6" s="26"/>
      <c r="Q6" s="26" t="s">
        <v>11</v>
      </c>
      <c r="R6" s="26"/>
      <c r="S6" s="26"/>
    </row>
    <row r="7" spans="1:19" ht="62.4" x14ac:dyDescent="0.4">
      <c r="A7" s="28" t="s">
        <v>4</v>
      </c>
      <c r="B7" s="28" t="s">
        <v>5</v>
      </c>
      <c r="C7" s="28" t="s">
        <v>6</v>
      </c>
      <c r="D7" s="28" t="s">
        <v>53</v>
      </c>
      <c r="E7" s="28" t="s">
        <v>0</v>
      </c>
      <c r="F7" s="28" t="s">
        <v>7</v>
      </c>
      <c r="G7" s="28" t="s">
        <v>58</v>
      </c>
      <c r="H7" s="29" t="s">
        <v>54</v>
      </c>
      <c r="I7" s="29" t="s">
        <v>55</v>
      </c>
      <c r="J7" s="29" t="s">
        <v>59</v>
      </c>
      <c r="K7" s="42" t="s">
        <v>10</v>
      </c>
      <c r="L7" s="42" t="s">
        <v>74</v>
      </c>
      <c r="M7" s="42" t="s">
        <v>22</v>
      </c>
      <c r="N7" s="42" t="s">
        <v>23</v>
      </c>
      <c r="O7" s="42" t="s">
        <v>69</v>
      </c>
      <c r="P7" s="26"/>
      <c r="Q7" s="98" t="s">
        <v>72</v>
      </c>
      <c r="R7" s="99" t="s">
        <v>71</v>
      </c>
      <c r="S7" s="98" t="s">
        <v>69</v>
      </c>
    </row>
    <row r="8" spans="1:19" ht="21" x14ac:dyDescent="0.4">
      <c r="A8" s="30">
        <v>1000</v>
      </c>
      <c r="B8" s="31">
        <v>41.75</v>
      </c>
      <c r="C8" s="31">
        <v>45</v>
      </c>
      <c r="D8" s="31">
        <v>47</v>
      </c>
      <c r="E8" s="31">
        <v>20</v>
      </c>
      <c r="F8" s="30">
        <v>36</v>
      </c>
      <c r="G8" s="30">
        <v>46.65</v>
      </c>
      <c r="H8" s="107">
        <f>(B8/$B$6)*$B$5+(C8/$C$6)*$C$5+(D8/$D$6)*$D$5+(E8/$E$6)*$E$5+(F8/$F$6)*$F$5+(G8/$G$6)*$G$5</f>
        <v>0.91660000000000008</v>
      </c>
      <c r="I8" s="108">
        <f>SUMPRODUCT(B8:G8/$B$6:$G$6,$B$5:$G$5)</f>
        <v>0.91660000000000008</v>
      </c>
      <c r="J8" s="108">
        <f>(SUM(B8:D8)-LARGE(B8:D8, 3))*(3/2)/150*0.6+E8/$E$6*$E$5+F8/$F$6*$F$5+G8/$G$6*$G$5</f>
        <v>0.9336000000000001</v>
      </c>
      <c r="K8" s="32" t="str">
        <f>VLOOKUP(J8,$Q$8:$R$17,2)</f>
        <v>A-</v>
      </c>
      <c r="L8" s="33" t="str">
        <f>IF(J8&gt;$Q$17, $R$17, IF(J8&gt;$Q$16,$R$16, IF(J8&gt;$Q$15,$R$15,IF(J8&gt;$Q$14,$R$14,IF(J8&gt;$Q$13,$R$13,IF(J8&gt;$Q$12,$R$12,IF(J8&gt;$Q$11,$R$11,IF(J8&gt;$Q$10,$R$10,IF(J8&gt;$Q$9,$R$9,$R$8)))))))))</f>
        <v>A-</v>
      </c>
      <c r="M8" s="34" t="str">
        <f>IF(AND(B8&gt;=43,C8&gt;=43,D8&gt;=43), "YES", "NO")</f>
        <v>NO</v>
      </c>
      <c r="N8" s="33" t="str">
        <f>IF(AND(B8&lt;=35,C8&lt;=35,D8&lt;=35),"YES","NO")</f>
        <v>NO</v>
      </c>
      <c r="O8" s="33">
        <f>VLOOKUP(J8,$Q$8:$S$17,3)</f>
        <v>3.67</v>
      </c>
      <c r="P8" s="43"/>
      <c r="Q8" s="109">
        <v>0</v>
      </c>
      <c r="R8" s="100" t="s">
        <v>65</v>
      </c>
      <c r="S8" s="98">
        <v>0</v>
      </c>
    </row>
    <row r="9" spans="1:19" ht="21" x14ac:dyDescent="0.4">
      <c r="A9" s="35">
        <v>1001</v>
      </c>
      <c r="B9" s="36">
        <v>38.5</v>
      </c>
      <c r="C9" s="36">
        <v>34</v>
      </c>
      <c r="D9" s="36">
        <v>35</v>
      </c>
      <c r="E9" s="36">
        <v>19.753333333333334</v>
      </c>
      <c r="F9" s="35">
        <v>36</v>
      </c>
      <c r="G9" s="35">
        <v>35.25</v>
      </c>
      <c r="H9" s="107">
        <f t="shared" ref="H9:H43" si="0">(B9/$B$6)*$B$5+(C9/$C$6)*$C$5+(D9/$D$6)*$D$5+(E9/$E$6)*$E$5+(F9/$F$6)*$F$5+(G9/$G$6)*$G$5</f>
        <v>0.76415000000000011</v>
      </c>
      <c r="I9" s="108">
        <f t="shared" ref="I9:I43" si="1">SUMPRODUCT(B9:G9/$B$6:$G$6,$B$5:$G$5)</f>
        <v>0.76415000000000011</v>
      </c>
      <c r="J9" s="108">
        <f t="shared" ref="J9:J43" si="2">(SUM(B9:D9)-LARGE(B9:D9, 3))*(3/2)/150*0.6+E9/$E$6*$E$5+F9/$F$6*$F$5+G9/$G$6*$G$5</f>
        <v>0.77515000000000012</v>
      </c>
      <c r="K9" s="32" t="str">
        <f t="shared" ref="K9:K43" si="3">VLOOKUP(J9,$Q$8:$R$17,2)</f>
        <v>C+</v>
      </c>
      <c r="L9" s="33" t="str">
        <f t="shared" ref="L9:L43" si="4">IF(J9&gt;$Q$17, $R$17, IF(J9&gt;$Q$16,$R$16, IF(J9&gt;$Q$15,$R$15,IF(J9&gt;$Q$14,$R$14,IF(J9&gt;$Q$13,$R$13,IF(J9&gt;$Q$12,$R$12,IF(J9&gt;$Q$11,$R$11,IF(J9&gt;$Q$10,$R$10,IF(J9&gt;$Q$9,$R$9,$R$8)))))))))</f>
        <v>C+</v>
      </c>
      <c r="M9" s="34" t="str">
        <f t="shared" ref="M9:M43" si="5">IF(AND(B9&gt;=43,C9&gt;=43,D9&gt;=43), "YES", "NO")</f>
        <v>NO</v>
      </c>
      <c r="N9" s="33" t="str">
        <f t="shared" ref="N9:N43" si="6">IF(AND(B9&lt;=35,C9&lt;=35,D9&lt;=35),"YES","NO")</f>
        <v>NO</v>
      </c>
      <c r="O9" s="33">
        <f t="shared" ref="O9:O43" si="7">VLOOKUP(J9,$Q$8:$S$17,3)</f>
        <v>2.33</v>
      </c>
      <c r="P9" s="43"/>
      <c r="Q9" s="109">
        <v>0.5</v>
      </c>
      <c r="R9" s="100" t="s">
        <v>12</v>
      </c>
      <c r="S9" s="98">
        <v>1</v>
      </c>
    </row>
    <row r="10" spans="1:19" ht="21" x14ac:dyDescent="0.4">
      <c r="A10" s="30">
        <v>1002</v>
      </c>
      <c r="B10" s="31">
        <v>37</v>
      </c>
      <c r="C10" s="31">
        <v>39</v>
      </c>
      <c r="D10" s="31">
        <v>40</v>
      </c>
      <c r="E10" s="31">
        <v>19.774999999999999</v>
      </c>
      <c r="F10" s="30">
        <v>35</v>
      </c>
      <c r="G10" s="30">
        <v>40</v>
      </c>
      <c r="H10" s="107">
        <f t="shared" si="0"/>
        <v>0.81606250000000002</v>
      </c>
      <c r="I10" s="108">
        <f t="shared" si="1"/>
        <v>0.81606250000000002</v>
      </c>
      <c r="J10" s="108">
        <f t="shared" si="2"/>
        <v>0.82606249999999992</v>
      </c>
      <c r="K10" s="32" t="str">
        <f t="shared" si="3"/>
        <v>B-</v>
      </c>
      <c r="L10" s="33" t="str">
        <f t="shared" si="4"/>
        <v>B-</v>
      </c>
      <c r="M10" s="34" t="str">
        <f t="shared" si="5"/>
        <v>NO</v>
      </c>
      <c r="N10" s="33" t="str">
        <f t="shared" si="6"/>
        <v>NO</v>
      </c>
      <c r="O10" s="33">
        <f t="shared" si="7"/>
        <v>2.67</v>
      </c>
      <c r="P10" s="43"/>
      <c r="Q10" s="109">
        <v>0.6</v>
      </c>
      <c r="R10" s="101" t="s">
        <v>66</v>
      </c>
      <c r="S10" s="98">
        <v>1.67</v>
      </c>
    </row>
    <row r="11" spans="1:19" ht="21" x14ac:dyDescent="0.4">
      <c r="A11" s="35">
        <v>1003</v>
      </c>
      <c r="B11" s="36">
        <v>38.25</v>
      </c>
      <c r="C11" s="36">
        <v>44.85</v>
      </c>
      <c r="D11" s="36">
        <v>44</v>
      </c>
      <c r="E11" s="36">
        <v>20</v>
      </c>
      <c r="F11" s="35">
        <v>35</v>
      </c>
      <c r="G11" s="35">
        <v>43.8</v>
      </c>
      <c r="H11" s="107">
        <f t="shared" si="0"/>
        <v>0.87735000000000007</v>
      </c>
      <c r="I11" s="108">
        <f t="shared" si="1"/>
        <v>0.87735000000000007</v>
      </c>
      <c r="J11" s="108">
        <f t="shared" si="2"/>
        <v>0.90204999999999991</v>
      </c>
      <c r="K11" s="32" t="str">
        <f t="shared" si="3"/>
        <v>A-</v>
      </c>
      <c r="L11" s="33" t="str">
        <f t="shared" si="4"/>
        <v>A-</v>
      </c>
      <c r="M11" s="34" t="str">
        <f t="shared" si="5"/>
        <v>NO</v>
      </c>
      <c r="N11" s="33" t="str">
        <f t="shared" si="6"/>
        <v>NO</v>
      </c>
      <c r="O11" s="33">
        <f t="shared" si="7"/>
        <v>3.67</v>
      </c>
      <c r="P11" s="35"/>
      <c r="Q11" s="110">
        <v>0.7</v>
      </c>
      <c r="R11" s="100" t="s">
        <v>3</v>
      </c>
      <c r="S11" s="98">
        <v>2</v>
      </c>
    </row>
    <row r="12" spans="1:19" ht="21" x14ac:dyDescent="0.4">
      <c r="A12" s="30">
        <v>1004</v>
      </c>
      <c r="B12" s="31">
        <v>40</v>
      </c>
      <c r="C12" s="31">
        <v>43</v>
      </c>
      <c r="D12" s="31">
        <v>42</v>
      </c>
      <c r="E12" s="31">
        <v>19.55</v>
      </c>
      <c r="F12" s="30">
        <v>37</v>
      </c>
      <c r="G12" s="30">
        <v>41.9</v>
      </c>
      <c r="H12" s="107">
        <f t="shared" si="0"/>
        <v>0.8604750000000001</v>
      </c>
      <c r="I12" s="108">
        <f t="shared" si="1"/>
        <v>0.8604750000000001</v>
      </c>
      <c r="J12" s="108">
        <f t="shared" si="2"/>
        <v>0.870475</v>
      </c>
      <c r="K12" s="32" t="str">
        <f t="shared" si="3"/>
        <v>B+</v>
      </c>
      <c r="L12" s="33" t="str">
        <f t="shared" si="4"/>
        <v>B+</v>
      </c>
      <c r="M12" s="34" t="str">
        <f t="shared" si="5"/>
        <v>NO</v>
      </c>
      <c r="N12" s="33" t="str">
        <f t="shared" si="6"/>
        <v>NO</v>
      </c>
      <c r="O12" s="33">
        <f t="shared" si="7"/>
        <v>3.33</v>
      </c>
      <c r="P12" s="37"/>
      <c r="Q12" s="109">
        <v>0.75</v>
      </c>
      <c r="R12" s="100" t="s">
        <v>67</v>
      </c>
      <c r="S12" s="98">
        <v>2.33</v>
      </c>
    </row>
    <row r="13" spans="1:19" ht="21" x14ac:dyDescent="0.4">
      <c r="A13" s="35">
        <v>1005</v>
      </c>
      <c r="B13" s="36">
        <v>35.5</v>
      </c>
      <c r="C13" s="36">
        <v>42</v>
      </c>
      <c r="D13" s="36">
        <v>44</v>
      </c>
      <c r="E13" s="36">
        <v>19.82</v>
      </c>
      <c r="F13" s="35">
        <v>36</v>
      </c>
      <c r="G13" s="35">
        <v>43.8</v>
      </c>
      <c r="H13" s="107">
        <f t="shared" si="0"/>
        <v>0.85485</v>
      </c>
      <c r="I13" s="108">
        <f t="shared" si="1"/>
        <v>0.85485</v>
      </c>
      <c r="J13" s="108">
        <f t="shared" si="2"/>
        <v>0.88485000000000003</v>
      </c>
      <c r="K13" s="32" t="str">
        <f t="shared" si="3"/>
        <v>B+</v>
      </c>
      <c r="L13" s="33" t="str">
        <f t="shared" si="4"/>
        <v>B+</v>
      </c>
      <c r="M13" s="34" t="str">
        <f t="shared" si="5"/>
        <v>NO</v>
      </c>
      <c r="N13" s="33" t="str">
        <f t="shared" si="6"/>
        <v>NO</v>
      </c>
      <c r="O13" s="33">
        <f t="shared" si="7"/>
        <v>3.33</v>
      </c>
      <c r="P13" s="43"/>
      <c r="Q13" s="109">
        <v>0.8</v>
      </c>
      <c r="R13" s="100" t="s">
        <v>68</v>
      </c>
      <c r="S13" s="98">
        <v>2.67</v>
      </c>
    </row>
    <row r="14" spans="1:19" ht="21" x14ac:dyDescent="0.4">
      <c r="A14" s="30">
        <v>1006</v>
      </c>
      <c r="B14" s="31">
        <v>42</v>
      </c>
      <c r="C14" s="31">
        <v>45.75</v>
      </c>
      <c r="D14" s="31">
        <v>44</v>
      </c>
      <c r="E14" s="31">
        <v>19.725000000000001</v>
      </c>
      <c r="F14" s="30">
        <v>39</v>
      </c>
      <c r="G14" s="30">
        <v>43.8</v>
      </c>
      <c r="H14" s="107">
        <f t="shared" si="0"/>
        <v>0.89888749999999995</v>
      </c>
      <c r="I14" s="108">
        <f t="shared" si="1"/>
        <v>0.89888749999999995</v>
      </c>
      <c r="J14" s="108">
        <f t="shared" si="2"/>
        <v>0.91038750000000002</v>
      </c>
      <c r="K14" s="32" t="str">
        <f t="shared" si="3"/>
        <v>A-</v>
      </c>
      <c r="L14" s="33" t="str">
        <f t="shared" si="4"/>
        <v>A-</v>
      </c>
      <c r="M14" s="34" t="str">
        <f t="shared" si="5"/>
        <v>NO</v>
      </c>
      <c r="N14" s="33" t="str">
        <f t="shared" si="6"/>
        <v>NO</v>
      </c>
      <c r="O14" s="33">
        <f t="shared" si="7"/>
        <v>3.67</v>
      </c>
      <c r="P14" s="37"/>
      <c r="Q14" s="109">
        <v>0.83</v>
      </c>
      <c r="R14" s="100" t="s">
        <v>2</v>
      </c>
      <c r="S14" s="98">
        <v>3</v>
      </c>
    </row>
    <row r="15" spans="1:19" ht="21" x14ac:dyDescent="0.4">
      <c r="A15" s="35">
        <v>1007</v>
      </c>
      <c r="B15" s="36">
        <v>41</v>
      </c>
      <c r="C15" s="36">
        <v>45.3</v>
      </c>
      <c r="D15" s="36">
        <v>40</v>
      </c>
      <c r="E15" s="36">
        <v>19.899999999999999</v>
      </c>
      <c r="F15" s="35">
        <v>37</v>
      </c>
      <c r="G15" s="35">
        <v>40</v>
      </c>
      <c r="H15" s="107">
        <f t="shared" si="0"/>
        <v>0.86070000000000013</v>
      </c>
      <c r="I15" s="108">
        <f t="shared" si="1"/>
        <v>0.86070000000000013</v>
      </c>
      <c r="J15" s="108">
        <f t="shared" si="2"/>
        <v>0.87329999999999997</v>
      </c>
      <c r="K15" s="32" t="str">
        <f t="shared" si="3"/>
        <v>B+</v>
      </c>
      <c r="L15" s="33" t="str">
        <f t="shared" si="4"/>
        <v>B+</v>
      </c>
      <c r="M15" s="34" t="str">
        <f t="shared" si="5"/>
        <v>NO</v>
      </c>
      <c r="N15" s="33" t="str">
        <f t="shared" si="6"/>
        <v>NO</v>
      </c>
      <c r="O15" s="33">
        <f t="shared" si="7"/>
        <v>3.33</v>
      </c>
      <c r="P15" s="35"/>
      <c r="Q15" s="110">
        <v>0.87</v>
      </c>
      <c r="R15" s="101" t="s">
        <v>62</v>
      </c>
      <c r="S15" s="98">
        <v>3.33</v>
      </c>
    </row>
    <row r="16" spans="1:19" ht="21" x14ac:dyDescent="0.4">
      <c r="A16" s="30">
        <v>1008</v>
      </c>
      <c r="B16" s="31">
        <v>31</v>
      </c>
      <c r="C16" s="31">
        <v>42</v>
      </c>
      <c r="D16" s="31">
        <v>35</v>
      </c>
      <c r="E16" s="31">
        <v>19.824999999999999</v>
      </c>
      <c r="F16" s="30">
        <v>39</v>
      </c>
      <c r="G16" s="30">
        <v>35.25</v>
      </c>
      <c r="H16" s="107">
        <f t="shared" si="0"/>
        <v>0.7704375</v>
      </c>
      <c r="I16" s="108">
        <f t="shared" si="1"/>
        <v>0.7704375</v>
      </c>
      <c r="J16" s="108">
        <f t="shared" si="2"/>
        <v>0.80043749999999991</v>
      </c>
      <c r="K16" s="32" t="str">
        <f t="shared" si="3"/>
        <v>B-</v>
      </c>
      <c r="L16" s="33" t="str">
        <f t="shared" si="4"/>
        <v>B-</v>
      </c>
      <c r="M16" s="34" t="str">
        <f t="shared" si="5"/>
        <v>NO</v>
      </c>
      <c r="N16" s="33" t="str">
        <f t="shared" si="6"/>
        <v>NO</v>
      </c>
      <c r="O16" s="33">
        <f t="shared" si="7"/>
        <v>2.67</v>
      </c>
      <c r="P16" s="43"/>
      <c r="Q16" s="109">
        <v>0.9</v>
      </c>
      <c r="R16" s="100" t="s">
        <v>64</v>
      </c>
      <c r="S16" s="98">
        <v>3.67</v>
      </c>
    </row>
    <row r="17" spans="1:19" ht="21" x14ac:dyDescent="0.4">
      <c r="A17" s="35">
        <v>1009</v>
      </c>
      <c r="B17" s="36">
        <v>38</v>
      </c>
      <c r="C17" s="36">
        <v>41.5</v>
      </c>
      <c r="D17" s="36">
        <v>40</v>
      </c>
      <c r="E17" s="36">
        <v>19.82</v>
      </c>
      <c r="F17" s="35">
        <v>36</v>
      </c>
      <c r="G17" s="35">
        <v>40</v>
      </c>
      <c r="H17" s="107">
        <f t="shared" si="0"/>
        <v>0.83165000000000022</v>
      </c>
      <c r="I17" s="108">
        <f t="shared" si="1"/>
        <v>0.83165000000000022</v>
      </c>
      <c r="J17" s="108">
        <f t="shared" si="2"/>
        <v>0.84265000000000001</v>
      </c>
      <c r="K17" s="32" t="str">
        <f t="shared" si="3"/>
        <v>B</v>
      </c>
      <c r="L17" s="33" t="str">
        <f t="shared" si="4"/>
        <v>B</v>
      </c>
      <c r="M17" s="34" t="str">
        <f t="shared" si="5"/>
        <v>NO</v>
      </c>
      <c r="N17" s="33" t="str">
        <f t="shared" si="6"/>
        <v>NO</v>
      </c>
      <c r="O17" s="33">
        <f t="shared" si="7"/>
        <v>3</v>
      </c>
      <c r="P17" s="37"/>
      <c r="Q17" s="109">
        <v>0.95</v>
      </c>
      <c r="R17" s="100" t="s">
        <v>1</v>
      </c>
      <c r="S17" s="98">
        <v>4</v>
      </c>
    </row>
    <row r="18" spans="1:19" ht="15.6" x14ac:dyDescent="0.3">
      <c r="A18" s="30">
        <v>1010</v>
      </c>
      <c r="B18" s="31">
        <v>42.5</v>
      </c>
      <c r="C18" s="31">
        <v>45</v>
      </c>
      <c r="D18" s="31">
        <v>48</v>
      </c>
      <c r="E18" s="31">
        <v>19.84</v>
      </c>
      <c r="F18" s="30">
        <v>39</v>
      </c>
      <c r="G18" s="30">
        <v>47.599999999999994</v>
      </c>
      <c r="H18" s="107">
        <f t="shared" si="0"/>
        <v>0.92995000000000005</v>
      </c>
      <c r="I18" s="108">
        <f t="shared" si="1"/>
        <v>0.92995000000000005</v>
      </c>
      <c r="J18" s="108">
        <f t="shared" si="2"/>
        <v>0.94595000000000007</v>
      </c>
      <c r="K18" s="32" t="str">
        <f t="shared" si="3"/>
        <v>A-</v>
      </c>
      <c r="L18" s="33" t="str">
        <f t="shared" si="4"/>
        <v>A-</v>
      </c>
      <c r="M18" s="34" t="str">
        <f t="shared" si="5"/>
        <v>NO</v>
      </c>
      <c r="N18" s="33" t="str">
        <f t="shared" si="6"/>
        <v>NO</v>
      </c>
      <c r="O18" s="33">
        <f t="shared" si="7"/>
        <v>3.67</v>
      </c>
      <c r="P18" s="26"/>
      <c r="Q18" s="26"/>
      <c r="R18" s="26"/>
      <c r="S18" s="26"/>
    </row>
    <row r="19" spans="1:19" ht="21" x14ac:dyDescent="0.4">
      <c r="A19" s="35">
        <v>1011</v>
      </c>
      <c r="B19" s="36">
        <v>43</v>
      </c>
      <c r="C19" s="36">
        <v>48.1</v>
      </c>
      <c r="D19" s="36">
        <v>49</v>
      </c>
      <c r="E19" s="36">
        <v>19.86</v>
      </c>
      <c r="F19" s="35">
        <v>36</v>
      </c>
      <c r="G19" s="35">
        <v>48.55</v>
      </c>
      <c r="H19" s="107">
        <f t="shared" si="0"/>
        <v>0.94855000000000012</v>
      </c>
      <c r="I19" s="108">
        <f t="shared" si="1"/>
        <v>0.94855000000000012</v>
      </c>
      <c r="J19" s="108">
        <f t="shared" si="2"/>
        <v>0.97075</v>
      </c>
      <c r="K19" s="32" t="str">
        <f t="shared" si="3"/>
        <v>A</v>
      </c>
      <c r="L19" s="33" t="str">
        <f t="shared" si="4"/>
        <v>A</v>
      </c>
      <c r="M19" s="34" t="str">
        <f t="shared" si="5"/>
        <v>YES</v>
      </c>
      <c r="N19" s="33" t="str">
        <f t="shared" si="6"/>
        <v>NO</v>
      </c>
      <c r="O19" s="33">
        <f t="shared" si="7"/>
        <v>4</v>
      </c>
      <c r="P19" s="26"/>
      <c r="Q19" s="72" t="s">
        <v>13</v>
      </c>
      <c r="R19" s="72"/>
      <c r="S19" s="26"/>
    </row>
    <row r="20" spans="1:19" ht="21" x14ac:dyDescent="0.4">
      <c r="A20" s="30">
        <v>1012</v>
      </c>
      <c r="B20" s="31">
        <v>46.25</v>
      </c>
      <c r="C20" s="31">
        <v>49.25</v>
      </c>
      <c r="D20" s="31">
        <v>48</v>
      </c>
      <c r="E20" s="31">
        <v>19.740000000000002</v>
      </c>
      <c r="F20" s="30">
        <v>39</v>
      </c>
      <c r="G20" s="30">
        <v>47.599999999999994</v>
      </c>
      <c r="H20" s="107">
        <f t="shared" si="0"/>
        <v>0.96120000000000005</v>
      </c>
      <c r="I20" s="108">
        <f t="shared" si="1"/>
        <v>0.96120000000000005</v>
      </c>
      <c r="J20" s="108">
        <f t="shared" si="2"/>
        <v>0.97070000000000001</v>
      </c>
      <c r="K20" s="32" t="str">
        <f t="shared" si="3"/>
        <v>A</v>
      </c>
      <c r="L20" s="33" t="str">
        <f t="shared" si="4"/>
        <v>A</v>
      </c>
      <c r="M20" s="34" t="str">
        <f t="shared" si="5"/>
        <v>YES</v>
      </c>
      <c r="N20" s="33" t="str">
        <f t="shared" si="6"/>
        <v>NO</v>
      </c>
      <c r="O20" s="33">
        <f t="shared" si="7"/>
        <v>4</v>
      </c>
      <c r="P20" s="26"/>
      <c r="Q20" s="72"/>
      <c r="R20" s="72"/>
      <c r="S20" s="26"/>
    </row>
    <row r="21" spans="1:19" ht="21" x14ac:dyDescent="0.4">
      <c r="A21" s="35">
        <v>1013</v>
      </c>
      <c r="B21" s="36">
        <v>39.5</v>
      </c>
      <c r="C21" s="36">
        <v>32</v>
      </c>
      <c r="D21" s="36">
        <v>33</v>
      </c>
      <c r="E21" s="36">
        <v>19.975000000000001</v>
      </c>
      <c r="F21" s="35">
        <v>39</v>
      </c>
      <c r="G21" s="35">
        <v>33.349999999999994</v>
      </c>
      <c r="H21" s="107">
        <f t="shared" si="0"/>
        <v>0.74996249999999998</v>
      </c>
      <c r="I21" s="108">
        <f t="shared" si="1"/>
        <v>0.74996249999999998</v>
      </c>
      <c r="J21" s="108">
        <f t="shared" si="2"/>
        <v>0.76696249999999988</v>
      </c>
      <c r="K21" s="32" t="str">
        <f t="shared" si="3"/>
        <v>C+</v>
      </c>
      <c r="L21" s="33" t="str">
        <f t="shared" si="4"/>
        <v>C+</v>
      </c>
      <c r="M21" s="34" t="str">
        <f t="shared" si="5"/>
        <v>NO</v>
      </c>
      <c r="N21" s="33" t="str">
        <f t="shared" si="6"/>
        <v>NO</v>
      </c>
      <c r="O21" s="33">
        <f t="shared" si="7"/>
        <v>2.33</v>
      </c>
      <c r="P21" s="26"/>
      <c r="Q21" s="98" t="s">
        <v>14</v>
      </c>
      <c r="R21" s="98" t="s">
        <v>15</v>
      </c>
      <c r="S21" s="26"/>
    </row>
    <row r="22" spans="1:19" ht="21" x14ac:dyDescent="0.4">
      <c r="A22" s="30">
        <v>1014</v>
      </c>
      <c r="B22" s="31">
        <v>42.25</v>
      </c>
      <c r="C22" s="31">
        <v>47.3</v>
      </c>
      <c r="D22" s="31">
        <v>46</v>
      </c>
      <c r="E22" s="31">
        <v>20</v>
      </c>
      <c r="F22" s="30">
        <v>37</v>
      </c>
      <c r="G22" s="30">
        <v>45.699999999999996</v>
      </c>
      <c r="H22" s="107">
        <f t="shared" si="0"/>
        <v>0.92125000000000001</v>
      </c>
      <c r="I22" s="108">
        <f t="shared" si="1"/>
        <v>0.92125000000000001</v>
      </c>
      <c r="J22" s="108">
        <f t="shared" si="2"/>
        <v>0.93885000000000007</v>
      </c>
      <c r="K22" s="32" t="str">
        <f t="shared" si="3"/>
        <v>A-</v>
      </c>
      <c r="L22" s="33" t="str">
        <f t="shared" si="4"/>
        <v>A-</v>
      </c>
      <c r="M22" s="34" t="str">
        <f t="shared" si="5"/>
        <v>NO</v>
      </c>
      <c r="N22" s="33" t="str">
        <f t="shared" si="6"/>
        <v>NO</v>
      </c>
      <c r="O22" s="33">
        <f t="shared" si="7"/>
        <v>3.67</v>
      </c>
      <c r="P22" s="26"/>
      <c r="Q22" s="113">
        <v>0.7</v>
      </c>
      <c r="R22" s="98">
        <f t="array" ref="R22:R25">FREQUENCY(J8:J43,$Q$22:$Q$25)</f>
        <v>1</v>
      </c>
    </row>
    <row r="23" spans="1:19" ht="21" x14ac:dyDescent="0.4">
      <c r="A23" s="35">
        <v>1015</v>
      </c>
      <c r="B23" s="36">
        <v>35.5</v>
      </c>
      <c r="C23" s="36">
        <v>47.75</v>
      </c>
      <c r="D23" s="36">
        <v>42</v>
      </c>
      <c r="E23" s="36">
        <v>19.75</v>
      </c>
      <c r="F23" s="35">
        <v>39</v>
      </c>
      <c r="G23" s="35">
        <v>41.9</v>
      </c>
      <c r="H23" s="107">
        <f t="shared" si="0"/>
        <v>0.86547499999999988</v>
      </c>
      <c r="I23" s="108">
        <f t="shared" si="1"/>
        <v>0.86547499999999988</v>
      </c>
      <c r="J23" s="108">
        <f t="shared" si="2"/>
        <v>0.90297499999999997</v>
      </c>
      <c r="K23" s="32" t="str">
        <f t="shared" si="3"/>
        <v>A-</v>
      </c>
      <c r="L23" s="33" t="str">
        <f t="shared" si="4"/>
        <v>A-</v>
      </c>
      <c r="M23" s="34" t="str">
        <f t="shared" si="5"/>
        <v>NO</v>
      </c>
      <c r="N23" s="33" t="str">
        <f t="shared" si="6"/>
        <v>NO</v>
      </c>
      <c r="O23" s="33">
        <f t="shared" si="7"/>
        <v>3.67</v>
      </c>
      <c r="P23" s="26"/>
      <c r="Q23" s="113">
        <v>0.8</v>
      </c>
      <c r="R23" s="103">
        <v>2</v>
      </c>
    </row>
    <row r="24" spans="1:19" ht="21" x14ac:dyDescent="0.4">
      <c r="A24" s="30">
        <v>1016</v>
      </c>
      <c r="B24" s="31">
        <v>50</v>
      </c>
      <c r="C24" s="31">
        <v>47.75</v>
      </c>
      <c r="D24" s="31">
        <v>50</v>
      </c>
      <c r="E24" s="31">
        <v>19.883333333333333</v>
      </c>
      <c r="F24" s="30">
        <v>39</v>
      </c>
      <c r="G24" s="30">
        <v>49.5</v>
      </c>
      <c r="H24" s="107">
        <f t="shared" si="0"/>
        <v>0.98687499999999995</v>
      </c>
      <c r="I24" s="108">
        <f t="shared" si="1"/>
        <v>0.98687499999999995</v>
      </c>
      <c r="J24" s="108">
        <f t="shared" si="2"/>
        <v>0.99587499999999984</v>
      </c>
      <c r="K24" s="32" t="str">
        <f t="shared" si="3"/>
        <v>A</v>
      </c>
      <c r="L24" s="33" t="str">
        <f t="shared" si="4"/>
        <v>A</v>
      </c>
      <c r="M24" s="34" t="str">
        <f t="shared" si="5"/>
        <v>YES</v>
      </c>
      <c r="N24" s="33" t="str">
        <f t="shared" si="6"/>
        <v>NO</v>
      </c>
      <c r="O24" s="33">
        <f t="shared" si="7"/>
        <v>4</v>
      </c>
      <c r="P24" s="26"/>
      <c r="Q24" s="113">
        <v>0.9</v>
      </c>
      <c r="R24" s="103">
        <v>16</v>
      </c>
    </row>
    <row r="25" spans="1:19" ht="21" x14ac:dyDescent="0.4">
      <c r="A25" s="35">
        <v>1017</v>
      </c>
      <c r="B25" s="36">
        <v>41.5</v>
      </c>
      <c r="C25" s="36">
        <v>45.4</v>
      </c>
      <c r="D25" s="36">
        <v>44</v>
      </c>
      <c r="E25" s="36">
        <v>19.695</v>
      </c>
      <c r="F25" s="35">
        <v>36</v>
      </c>
      <c r="G25" s="35">
        <v>43.8</v>
      </c>
      <c r="H25" s="107">
        <f t="shared" si="0"/>
        <v>0.89151250000000015</v>
      </c>
      <c r="I25" s="108">
        <f t="shared" si="1"/>
        <v>0.89151250000000015</v>
      </c>
      <c r="J25" s="108">
        <f t="shared" si="2"/>
        <v>0.90431250000000019</v>
      </c>
      <c r="K25" s="32" t="str">
        <f t="shared" si="3"/>
        <v>A-</v>
      </c>
      <c r="L25" s="33" t="str">
        <f t="shared" si="4"/>
        <v>A-</v>
      </c>
      <c r="M25" s="34" t="str">
        <f t="shared" si="5"/>
        <v>NO</v>
      </c>
      <c r="N25" s="33" t="str">
        <f t="shared" si="6"/>
        <v>NO</v>
      </c>
      <c r="O25" s="33">
        <f t="shared" si="7"/>
        <v>3.67</v>
      </c>
      <c r="P25" s="26"/>
      <c r="Q25" s="113">
        <v>1</v>
      </c>
      <c r="R25" s="103">
        <v>17</v>
      </c>
    </row>
    <row r="26" spans="1:19" ht="21" x14ac:dyDescent="0.4">
      <c r="A26" s="30">
        <v>1018</v>
      </c>
      <c r="B26" s="31">
        <v>36.5</v>
      </c>
      <c r="C26" s="31">
        <v>42.25</v>
      </c>
      <c r="D26" s="31">
        <v>38</v>
      </c>
      <c r="E26" s="31">
        <v>19.95</v>
      </c>
      <c r="F26" s="30">
        <v>35</v>
      </c>
      <c r="G26" s="30">
        <v>38.1</v>
      </c>
      <c r="H26" s="107">
        <f t="shared" si="0"/>
        <v>0.81277499999999991</v>
      </c>
      <c r="I26" s="108">
        <f t="shared" si="1"/>
        <v>0.81277499999999991</v>
      </c>
      <c r="J26" s="108">
        <f t="shared" si="2"/>
        <v>0.82727499999999987</v>
      </c>
      <c r="K26" s="32" t="str">
        <f t="shared" si="3"/>
        <v>B-</v>
      </c>
      <c r="L26" s="33" t="str">
        <f t="shared" si="4"/>
        <v>B-</v>
      </c>
      <c r="M26" s="34" t="str">
        <f t="shared" si="5"/>
        <v>NO</v>
      </c>
      <c r="N26" s="33" t="str">
        <f t="shared" si="6"/>
        <v>NO</v>
      </c>
      <c r="O26" s="33">
        <f t="shared" si="7"/>
        <v>2.67</v>
      </c>
      <c r="P26" s="26"/>
      <c r="Q26" s="72"/>
      <c r="R26" s="102"/>
    </row>
    <row r="27" spans="1:19" ht="21" x14ac:dyDescent="0.4">
      <c r="A27" s="35">
        <v>1019</v>
      </c>
      <c r="B27" s="36">
        <v>43.25</v>
      </c>
      <c r="C27" s="36">
        <v>41.5</v>
      </c>
      <c r="D27" s="36">
        <v>43</v>
      </c>
      <c r="E27" s="36">
        <v>19.816666666666666</v>
      </c>
      <c r="F27" s="35">
        <v>37</v>
      </c>
      <c r="G27" s="35">
        <v>42.85</v>
      </c>
      <c r="H27" s="107">
        <f t="shared" si="0"/>
        <v>0.87727500000000003</v>
      </c>
      <c r="I27" s="108">
        <f t="shared" si="1"/>
        <v>0.87727500000000003</v>
      </c>
      <c r="J27" s="108">
        <f t="shared" si="2"/>
        <v>0.88377499999999998</v>
      </c>
      <c r="K27" s="32" t="str">
        <f t="shared" si="3"/>
        <v>B+</v>
      </c>
      <c r="L27" s="33" t="str">
        <f t="shared" si="4"/>
        <v>B+</v>
      </c>
      <c r="M27" s="34" t="str">
        <f t="shared" si="5"/>
        <v>NO</v>
      </c>
      <c r="N27" s="33" t="str">
        <f t="shared" si="6"/>
        <v>NO</v>
      </c>
      <c r="O27" s="33">
        <f t="shared" si="7"/>
        <v>3.33</v>
      </c>
      <c r="P27" s="26"/>
      <c r="Q27" s="72" t="s">
        <v>16</v>
      </c>
      <c r="R27" s="72"/>
    </row>
    <row r="28" spans="1:19" ht="15.6" x14ac:dyDescent="0.3">
      <c r="A28" s="30">
        <v>1020</v>
      </c>
      <c r="B28" s="31">
        <v>34.75</v>
      </c>
      <c r="C28" s="31">
        <v>43</v>
      </c>
      <c r="D28" s="31">
        <v>41</v>
      </c>
      <c r="E28" s="31">
        <v>20</v>
      </c>
      <c r="F28" s="30">
        <v>37</v>
      </c>
      <c r="G28" s="30">
        <v>40.949999999999996</v>
      </c>
      <c r="H28" s="107">
        <f t="shared" si="0"/>
        <v>0.83505000000000007</v>
      </c>
      <c r="I28" s="108">
        <f t="shared" si="1"/>
        <v>0.83505000000000007</v>
      </c>
      <c r="J28" s="108">
        <f t="shared" si="2"/>
        <v>0.86404999999999998</v>
      </c>
      <c r="K28" s="32" t="str">
        <f t="shared" si="3"/>
        <v>B</v>
      </c>
      <c r="L28" s="33" t="str">
        <f t="shared" si="4"/>
        <v>B</v>
      </c>
      <c r="M28" s="34" t="str">
        <f t="shared" si="5"/>
        <v>NO</v>
      </c>
      <c r="N28" s="33" t="str">
        <f t="shared" si="6"/>
        <v>NO</v>
      </c>
      <c r="O28" s="33">
        <f t="shared" si="7"/>
        <v>3</v>
      </c>
      <c r="P28" s="26"/>
      <c r="Q28" s="26"/>
      <c r="R28" s="26"/>
      <c r="S28" s="26"/>
    </row>
    <row r="29" spans="1:19" ht="15.6" x14ac:dyDescent="0.3">
      <c r="A29" s="35">
        <v>1021</v>
      </c>
      <c r="B29" s="36">
        <v>44</v>
      </c>
      <c r="C29" s="36">
        <v>42.5</v>
      </c>
      <c r="D29" s="36">
        <v>46</v>
      </c>
      <c r="E29" s="36">
        <v>19.123333333333335</v>
      </c>
      <c r="F29" s="35">
        <v>36</v>
      </c>
      <c r="G29" s="35">
        <v>45.699999999999996</v>
      </c>
      <c r="H29" s="107">
        <f t="shared" si="0"/>
        <v>0.90122500000000005</v>
      </c>
      <c r="I29" s="108">
        <f t="shared" si="1"/>
        <v>0.90122500000000005</v>
      </c>
      <c r="J29" s="108">
        <f t="shared" si="2"/>
        <v>0.91122500000000006</v>
      </c>
      <c r="K29" s="32" t="str">
        <f t="shared" si="3"/>
        <v>A-</v>
      </c>
      <c r="L29" s="33" t="str">
        <f t="shared" si="4"/>
        <v>A-</v>
      </c>
      <c r="M29" s="34" t="str">
        <f t="shared" si="5"/>
        <v>NO</v>
      </c>
      <c r="N29" s="33" t="str">
        <f t="shared" si="6"/>
        <v>NO</v>
      </c>
      <c r="O29" s="33">
        <f t="shared" si="7"/>
        <v>3.67</v>
      </c>
      <c r="P29" s="26"/>
      <c r="Q29" s="26"/>
      <c r="R29" s="26"/>
      <c r="S29" s="26"/>
    </row>
    <row r="30" spans="1:19" ht="15.6" x14ac:dyDescent="0.3">
      <c r="A30" s="30">
        <v>1022</v>
      </c>
      <c r="B30" s="31">
        <v>38</v>
      </c>
      <c r="C30" s="31">
        <v>46.6</v>
      </c>
      <c r="D30" s="31">
        <v>43</v>
      </c>
      <c r="E30" s="31">
        <v>19.920000000000002</v>
      </c>
      <c r="F30" s="30">
        <v>35</v>
      </c>
      <c r="G30" s="30">
        <v>42.85</v>
      </c>
      <c r="H30" s="107">
        <f t="shared" si="0"/>
        <v>0.87495000000000001</v>
      </c>
      <c r="I30" s="108">
        <f t="shared" si="1"/>
        <v>0.87495000000000001</v>
      </c>
      <c r="J30" s="108">
        <f t="shared" si="2"/>
        <v>0.90214999999999979</v>
      </c>
      <c r="K30" s="32" t="str">
        <f t="shared" si="3"/>
        <v>A-</v>
      </c>
      <c r="L30" s="33" t="str">
        <f t="shared" si="4"/>
        <v>A-</v>
      </c>
      <c r="M30" s="34" t="str">
        <f t="shared" si="5"/>
        <v>NO</v>
      </c>
      <c r="N30" s="33" t="str">
        <f t="shared" si="6"/>
        <v>NO</v>
      </c>
      <c r="O30" s="33">
        <f t="shared" si="7"/>
        <v>3.67</v>
      </c>
      <c r="P30" s="26"/>
      <c r="Q30" s="26"/>
      <c r="R30" s="26"/>
      <c r="S30" s="26"/>
    </row>
    <row r="31" spans="1:19" ht="15.6" x14ac:dyDescent="0.3">
      <c r="A31" s="35">
        <v>1023</v>
      </c>
      <c r="B31" s="36">
        <v>41.5</v>
      </c>
      <c r="C31" s="36">
        <v>45.2</v>
      </c>
      <c r="D31" s="36">
        <v>44</v>
      </c>
      <c r="E31" s="36">
        <v>20</v>
      </c>
      <c r="F31" s="35">
        <v>35</v>
      </c>
      <c r="G31" s="35">
        <v>43.8</v>
      </c>
      <c r="H31" s="107">
        <f t="shared" si="0"/>
        <v>0.89175000000000004</v>
      </c>
      <c r="I31" s="108">
        <f t="shared" si="1"/>
        <v>0.89175000000000004</v>
      </c>
      <c r="J31" s="108">
        <f t="shared" si="2"/>
        <v>0.9041499999999999</v>
      </c>
      <c r="K31" s="32" t="str">
        <f t="shared" si="3"/>
        <v>A-</v>
      </c>
      <c r="L31" s="33" t="str">
        <f t="shared" si="4"/>
        <v>A-</v>
      </c>
      <c r="M31" s="34" t="str">
        <f t="shared" si="5"/>
        <v>NO</v>
      </c>
      <c r="N31" s="33" t="str">
        <f t="shared" si="6"/>
        <v>NO</v>
      </c>
      <c r="O31" s="33">
        <f t="shared" si="7"/>
        <v>3.67</v>
      </c>
      <c r="P31" s="26"/>
      <c r="Q31" s="26"/>
      <c r="R31" s="26"/>
      <c r="S31" s="26"/>
    </row>
    <row r="32" spans="1:19" ht="15.6" x14ac:dyDescent="0.3">
      <c r="A32" s="30">
        <v>1024</v>
      </c>
      <c r="B32" s="31">
        <v>39.5</v>
      </c>
      <c r="C32" s="31">
        <v>47.65</v>
      </c>
      <c r="D32" s="31">
        <v>45</v>
      </c>
      <c r="E32" s="31">
        <v>19.95</v>
      </c>
      <c r="F32" s="30">
        <v>39</v>
      </c>
      <c r="G32" s="30">
        <v>44.75</v>
      </c>
      <c r="H32" s="107">
        <f t="shared" si="0"/>
        <v>0.90597500000000009</v>
      </c>
      <c r="I32" s="108">
        <f t="shared" si="1"/>
        <v>0.90597500000000009</v>
      </c>
      <c r="J32" s="108">
        <f t="shared" si="2"/>
        <v>0.93327500000000008</v>
      </c>
      <c r="K32" s="32" t="str">
        <f t="shared" si="3"/>
        <v>A-</v>
      </c>
      <c r="L32" s="33" t="str">
        <f t="shared" si="4"/>
        <v>A-</v>
      </c>
      <c r="M32" s="34" t="str">
        <f t="shared" si="5"/>
        <v>NO</v>
      </c>
      <c r="N32" s="33" t="str">
        <f t="shared" si="6"/>
        <v>NO</v>
      </c>
      <c r="O32" s="33">
        <f t="shared" si="7"/>
        <v>3.67</v>
      </c>
      <c r="P32" s="26"/>
      <c r="Q32" s="26"/>
      <c r="R32" s="26"/>
      <c r="S32" s="26"/>
    </row>
    <row r="33" spans="1:19" ht="15.6" x14ac:dyDescent="0.3">
      <c r="A33" s="35">
        <v>1025</v>
      </c>
      <c r="B33" s="36">
        <v>40.5</v>
      </c>
      <c r="C33" s="36">
        <v>40</v>
      </c>
      <c r="D33" s="36">
        <v>40</v>
      </c>
      <c r="E33" s="36">
        <v>20</v>
      </c>
      <c r="F33" s="35">
        <v>37</v>
      </c>
      <c r="G33" s="35">
        <v>40</v>
      </c>
      <c r="H33" s="107">
        <f t="shared" si="0"/>
        <v>0.83825000000000016</v>
      </c>
      <c r="I33" s="108">
        <f t="shared" si="1"/>
        <v>0.83825000000000016</v>
      </c>
      <c r="J33" s="108">
        <f t="shared" si="2"/>
        <v>0.83925000000000005</v>
      </c>
      <c r="K33" s="32" t="str">
        <f t="shared" si="3"/>
        <v>B</v>
      </c>
      <c r="L33" s="33" t="str">
        <f t="shared" si="4"/>
        <v>B</v>
      </c>
      <c r="M33" s="34" t="str">
        <f t="shared" si="5"/>
        <v>NO</v>
      </c>
      <c r="N33" s="33" t="str">
        <f t="shared" si="6"/>
        <v>NO</v>
      </c>
      <c r="O33" s="33">
        <f t="shared" si="7"/>
        <v>3</v>
      </c>
      <c r="P33" s="26"/>
      <c r="Q33" s="26"/>
      <c r="R33" s="26"/>
      <c r="S33" s="26"/>
    </row>
    <row r="34" spans="1:19" ht="15.6" x14ac:dyDescent="0.3">
      <c r="A34" s="30">
        <v>1026</v>
      </c>
      <c r="B34" s="31">
        <v>39.5</v>
      </c>
      <c r="C34" s="31">
        <v>46.65</v>
      </c>
      <c r="D34" s="31">
        <v>39</v>
      </c>
      <c r="E34" s="31">
        <v>19.8</v>
      </c>
      <c r="F34" s="30">
        <v>39</v>
      </c>
      <c r="G34" s="30">
        <v>39.049999999999997</v>
      </c>
      <c r="H34" s="107">
        <f t="shared" si="0"/>
        <v>0.85404999999999998</v>
      </c>
      <c r="I34" s="108">
        <f t="shared" si="1"/>
        <v>0.85404999999999998</v>
      </c>
      <c r="J34" s="108">
        <f t="shared" si="2"/>
        <v>0.87034999999999996</v>
      </c>
      <c r="K34" s="32" t="str">
        <f t="shared" si="3"/>
        <v>B+</v>
      </c>
      <c r="L34" s="33" t="str">
        <f t="shared" si="4"/>
        <v>B+</v>
      </c>
      <c r="M34" s="34" t="str">
        <f t="shared" si="5"/>
        <v>NO</v>
      </c>
      <c r="N34" s="33" t="str">
        <f t="shared" si="6"/>
        <v>NO</v>
      </c>
      <c r="O34" s="33">
        <f t="shared" si="7"/>
        <v>3.33</v>
      </c>
      <c r="P34" s="26"/>
      <c r="Q34" s="26"/>
      <c r="R34" s="26"/>
      <c r="S34" s="26"/>
    </row>
    <row r="35" spans="1:19" ht="15.6" x14ac:dyDescent="0.3">
      <c r="A35" s="35">
        <v>1027</v>
      </c>
      <c r="B35" s="36">
        <v>37</v>
      </c>
      <c r="C35" s="36">
        <v>39</v>
      </c>
      <c r="D35" s="36">
        <v>38</v>
      </c>
      <c r="E35" s="36">
        <v>19.933333333333334</v>
      </c>
      <c r="F35" s="35">
        <v>37</v>
      </c>
      <c r="G35" s="35">
        <v>38.1</v>
      </c>
      <c r="H35" s="107">
        <f t="shared" si="0"/>
        <v>0.80415000000000003</v>
      </c>
      <c r="I35" s="108">
        <f t="shared" si="1"/>
        <v>0.80415000000000003</v>
      </c>
      <c r="J35" s="108">
        <f t="shared" si="2"/>
        <v>0.81014999999999993</v>
      </c>
      <c r="K35" s="32" t="str">
        <f t="shared" si="3"/>
        <v>B-</v>
      </c>
      <c r="L35" s="33" t="str">
        <f t="shared" si="4"/>
        <v>B-</v>
      </c>
      <c r="M35" s="34" t="str">
        <f t="shared" si="5"/>
        <v>NO</v>
      </c>
      <c r="N35" s="33" t="str">
        <f t="shared" si="6"/>
        <v>NO</v>
      </c>
      <c r="O35" s="33">
        <f t="shared" si="7"/>
        <v>2.67</v>
      </c>
      <c r="P35" s="26"/>
      <c r="Q35" s="26"/>
      <c r="R35" s="26"/>
      <c r="S35" s="26"/>
    </row>
    <row r="36" spans="1:19" ht="15.6" x14ac:dyDescent="0.3">
      <c r="A36" s="30">
        <v>1028</v>
      </c>
      <c r="B36" s="31">
        <v>41.25</v>
      </c>
      <c r="C36" s="31">
        <v>43.65</v>
      </c>
      <c r="D36" s="31">
        <v>48</v>
      </c>
      <c r="E36" s="31">
        <v>19.68</v>
      </c>
      <c r="F36" s="30">
        <v>36</v>
      </c>
      <c r="G36" s="30">
        <v>47.599999999999994</v>
      </c>
      <c r="H36" s="107">
        <f t="shared" si="0"/>
        <v>0.91460000000000008</v>
      </c>
      <c r="I36" s="108">
        <f t="shared" si="1"/>
        <v>0.91460000000000008</v>
      </c>
      <c r="J36" s="108">
        <f t="shared" si="2"/>
        <v>0.93290000000000006</v>
      </c>
      <c r="K36" s="32" t="str">
        <f t="shared" si="3"/>
        <v>A-</v>
      </c>
      <c r="L36" s="33" t="str">
        <f t="shared" si="4"/>
        <v>A-</v>
      </c>
      <c r="M36" s="34" t="str">
        <f t="shared" si="5"/>
        <v>NO</v>
      </c>
      <c r="N36" s="33" t="str">
        <f t="shared" si="6"/>
        <v>NO</v>
      </c>
      <c r="O36" s="33">
        <f t="shared" si="7"/>
        <v>3.67</v>
      </c>
      <c r="P36" s="26"/>
      <c r="Q36" s="26"/>
      <c r="R36" s="26"/>
      <c r="S36" s="26"/>
    </row>
    <row r="37" spans="1:19" ht="15.6" x14ac:dyDescent="0.3">
      <c r="A37" s="35">
        <v>1029</v>
      </c>
      <c r="B37" s="36">
        <v>46.75</v>
      </c>
      <c r="C37" s="36">
        <v>45.5</v>
      </c>
      <c r="D37" s="36">
        <v>48</v>
      </c>
      <c r="E37" s="36">
        <v>19.850000000000001</v>
      </c>
      <c r="F37" s="35">
        <v>39</v>
      </c>
      <c r="G37" s="35">
        <v>47.599999999999994</v>
      </c>
      <c r="H37" s="107">
        <f t="shared" si="0"/>
        <v>0.94902500000000001</v>
      </c>
      <c r="I37" s="108">
        <f t="shared" si="1"/>
        <v>0.94902500000000001</v>
      </c>
      <c r="J37" s="108">
        <f t="shared" si="2"/>
        <v>0.95652499999999996</v>
      </c>
      <c r="K37" s="32" t="str">
        <f t="shared" si="3"/>
        <v>A</v>
      </c>
      <c r="L37" s="33" t="str">
        <f t="shared" si="4"/>
        <v>A</v>
      </c>
      <c r="M37" s="34" t="str">
        <f t="shared" si="5"/>
        <v>YES</v>
      </c>
      <c r="N37" s="33" t="str">
        <f t="shared" si="6"/>
        <v>NO</v>
      </c>
      <c r="O37" s="33">
        <f t="shared" si="7"/>
        <v>4</v>
      </c>
      <c r="P37" s="26"/>
      <c r="Q37" s="26"/>
      <c r="R37" s="26"/>
      <c r="S37" s="26"/>
    </row>
    <row r="38" spans="1:19" ht="15.6" x14ac:dyDescent="0.3">
      <c r="A38" s="30">
        <v>1030</v>
      </c>
      <c r="B38" s="31">
        <v>40.5</v>
      </c>
      <c r="C38" s="31">
        <v>44.25</v>
      </c>
      <c r="D38" s="31">
        <v>42</v>
      </c>
      <c r="E38" s="31">
        <v>19.483333333333334</v>
      </c>
      <c r="F38" s="30">
        <v>37</v>
      </c>
      <c r="G38" s="30">
        <v>41.9</v>
      </c>
      <c r="H38" s="107">
        <f t="shared" si="0"/>
        <v>0.86697500000000016</v>
      </c>
      <c r="I38" s="108">
        <f t="shared" si="1"/>
        <v>0.86697500000000016</v>
      </c>
      <c r="J38" s="108">
        <f t="shared" si="2"/>
        <v>0.87747499999999989</v>
      </c>
      <c r="K38" s="32" t="str">
        <f t="shared" si="3"/>
        <v>B+</v>
      </c>
      <c r="L38" s="33" t="str">
        <f t="shared" si="4"/>
        <v>B+</v>
      </c>
      <c r="M38" s="34" t="str">
        <f t="shared" si="5"/>
        <v>NO</v>
      </c>
      <c r="N38" s="33" t="str">
        <f t="shared" si="6"/>
        <v>NO</v>
      </c>
      <c r="O38" s="33">
        <f t="shared" si="7"/>
        <v>3.33</v>
      </c>
      <c r="P38" s="26"/>
      <c r="Q38" s="26"/>
      <c r="R38" s="26"/>
      <c r="S38" s="26"/>
    </row>
    <row r="39" spans="1:19" ht="15.6" x14ac:dyDescent="0.3">
      <c r="A39" s="35">
        <v>1031</v>
      </c>
      <c r="B39" s="36">
        <v>43</v>
      </c>
      <c r="C39" s="36">
        <v>48</v>
      </c>
      <c r="D39" s="36">
        <v>46</v>
      </c>
      <c r="E39" s="36">
        <v>20</v>
      </c>
      <c r="F39" s="35">
        <v>39</v>
      </c>
      <c r="G39" s="35">
        <v>45.699999999999996</v>
      </c>
      <c r="H39" s="107">
        <f t="shared" si="0"/>
        <v>0.92954999999999999</v>
      </c>
      <c r="I39" s="108">
        <f t="shared" si="1"/>
        <v>0.92954999999999999</v>
      </c>
      <c r="J39" s="108">
        <f t="shared" si="2"/>
        <v>0.94554999999999989</v>
      </c>
      <c r="K39" s="32" t="str">
        <f t="shared" si="3"/>
        <v>A-</v>
      </c>
      <c r="L39" s="33" t="str">
        <f t="shared" si="4"/>
        <v>A-</v>
      </c>
      <c r="M39" s="34" t="str">
        <f t="shared" si="5"/>
        <v>YES</v>
      </c>
      <c r="N39" s="33" t="str">
        <f t="shared" si="6"/>
        <v>NO</v>
      </c>
      <c r="O39" s="33">
        <f t="shared" si="7"/>
        <v>3.67</v>
      </c>
      <c r="P39" s="26"/>
      <c r="Q39" s="26"/>
      <c r="R39" s="26"/>
      <c r="S39" s="26"/>
    </row>
    <row r="40" spans="1:19" ht="15.6" x14ac:dyDescent="0.3">
      <c r="A40" s="30">
        <v>1032</v>
      </c>
      <c r="B40" s="31">
        <v>40</v>
      </c>
      <c r="C40" s="31">
        <v>46.65</v>
      </c>
      <c r="D40" s="31">
        <v>42</v>
      </c>
      <c r="E40" s="31">
        <v>19.8</v>
      </c>
      <c r="F40" s="30">
        <v>37</v>
      </c>
      <c r="G40" s="30">
        <v>41.9</v>
      </c>
      <c r="H40" s="107">
        <f t="shared" si="0"/>
        <v>0.87695000000000001</v>
      </c>
      <c r="I40" s="108">
        <f t="shared" si="1"/>
        <v>0.87695000000000001</v>
      </c>
      <c r="J40" s="108">
        <f t="shared" si="2"/>
        <v>0.89424999999999999</v>
      </c>
      <c r="K40" s="32" t="str">
        <f t="shared" si="3"/>
        <v>B+</v>
      </c>
      <c r="L40" s="33" t="str">
        <f t="shared" si="4"/>
        <v>B+</v>
      </c>
      <c r="M40" s="34" t="str">
        <f t="shared" si="5"/>
        <v>NO</v>
      </c>
      <c r="N40" s="33" t="str">
        <f t="shared" si="6"/>
        <v>NO</v>
      </c>
      <c r="O40" s="33">
        <f t="shared" si="7"/>
        <v>3.33</v>
      </c>
      <c r="P40" s="26"/>
      <c r="Q40" s="26"/>
      <c r="R40" s="26"/>
      <c r="S40" s="26"/>
    </row>
    <row r="41" spans="1:19" ht="15.6" x14ac:dyDescent="0.3">
      <c r="A41" s="35">
        <v>1033</v>
      </c>
      <c r="B41" s="36">
        <v>35.5</v>
      </c>
      <c r="C41" s="36">
        <v>45.35</v>
      </c>
      <c r="D41" s="36">
        <v>40</v>
      </c>
      <c r="E41" s="36">
        <v>19.816666666666666</v>
      </c>
      <c r="F41" s="35">
        <v>37</v>
      </c>
      <c r="G41" s="35">
        <v>40</v>
      </c>
      <c r="H41" s="107">
        <f t="shared" si="0"/>
        <v>0.8382750000000001</v>
      </c>
      <c r="I41" s="108">
        <f t="shared" si="1"/>
        <v>0.8382750000000001</v>
      </c>
      <c r="J41" s="108">
        <f t="shared" si="2"/>
        <v>0.86697499999999994</v>
      </c>
      <c r="K41" s="32" t="str">
        <f t="shared" si="3"/>
        <v>B</v>
      </c>
      <c r="L41" s="33" t="str">
        <f t="shared" si="4"/>
        <v>B</v>
      </c>
      <c r="M41" s="34" t="str">
        <f t="shared" si="5"/>
        <v>NO</v>
      </c>
      <c r="N41" s="33" t="str">
        <f t="shared" si="6"/>
        <v>NO</v>
      </c>
      <c r="O41" s="33">
        <f t="shared" si="7"/>
        <v>3</v>
      </c>
      <c r="P41" s="26"/>
      <c r="Q41" s="26"/>
      <c r="R41" s="26"/>
      <c r="S41" s="26"/>
    </row>
    <row r="42" spans="1:19" ht="15.6" x14ac:dyDescent="0.3">
      <c r="A42" s="30">
        <v>1034</v>
      </c>
      <c r="B42" s="31">
        <v>32.5</v>
      </c>
      <c r="C42" s="31">
        <v>30</v>
      </c>
      <c r="D42" s="31">
        <v>28</v>
      </c>
      <c r="E42" s="31">
        <v>20</v>
      </c>
      <c r="F42" s="30">
        <v>39</v>
      </c>
      <c r="G42" s="30">
        <v>28.599999999999998</v>
      </c>
      <c r="H42" s="107">
        <f t="shared" si="0"/>
        <v>0.67514999999999992</v>
      </c>
      <c r="I42" s="108">
        <f t="shared" si="1"/>
        <v>0.67514999999999992</v>
      </c>
      <c r="J42" s="108">
        <f t="shared" si="2"/>
        <v>0.68815000000000004</v>
      </c>
      <c r="K42" s="32" t="str">
        <f t="shared" si="3"/>
        <v>C-</v>
      </c>
      <c r="L42" s="33" t="str">
        <f t="shared" si="4"/>
        <v>C-</v>
      </c>
      <c r="M42" s="34" t="str">
        <f t="shared" si="5"/>
        <v>NO</v>
      </c>
      <c r="N42" s="33" t="str">
        <f t="shared" si="6"/>
        <v>YES</v>
      </c>
      <c r="O42" s="33">
        <f t="shared" si="7"/>
        <v>1.67</v>
      </c>
      <c r="P42" s="26"/>
      <c r="Q42" s="26"/>
      <c r="R42" s="26"/>
      <c r="S42" s="26"/>
    </row>
    <row r="43" spans="1:19" ht="15.6" x14ac:dyDescent="0.3">
      <c r="A43" s="39">
        <v>1035</v>
      </c>
      <c r="B43" s="40">
        <v>36.5</v>
      </c>
      <c r="C43" s="40">
        <v>42</v>
      </c>
      <c r="D43" s="40">
        <v>39</v>
      </c>
      <c r="E43" s="40">
        <v>19.833333333333332</v>
      </c>
      <c r="F43" s="39">
        <v>39</v>
      </c>
      <c r="G43" s="39">
        <v>39.049999999999997</v>
      </c>
      <c r="H43" s="107">
        <f t="shared" si="0"/>
        <v>0.82369999999999999</v>
      </c>
      <c r="I43" s="108">
        <f t="shared" si="1"/>
        <v>0.82369999999999999</v>
      </c>
      <c r="J43" s="108">
        <f t="shared" si="2"/>
        <v>0.83969999999999989</v>
      </c>
      <c r="K43" s="32" t="str">
        <f t="shared" si="3"/>
        <v>B</v>
      </c>
      <c r="L43" s="33" t="str">
        <f t="shared" si="4"/>
        <v>B</v>
      </c>
      <c r="M43" s="34" t="str">
        <f t="shared" si="5"/>
        <v>NO</v>
      </c>
      <c r="N43" s="33" t="str">
        <f t="shared" si="6"/>
        <v>NO</v>
      </c>
      <c r="O43" s="33">
        <f t="shared" si="7"/>
        <v>3</v>
      </c>
      <c r="P43" s="26"/>
      <c r="Q43" s="26"/>
      <c r="R43" s="26"/>
      <c r="S43" s="26"/>
    </row>
    <row r="44" spans="1:19" ht="15.6" x14ac:dyDescent="0.3">
      <c r="A44" s="26"/>
      <c r="B44" s="26"/>
      <c r="C44" s="26"/>
      <c r="D44" s="26"/>
      <c r="E44" s="26"/>
      <c r="F44" s="26"/>
      <c r="G44" s="26"/>
      <c r="H44" s="26"/>
      <c r="I44" s="90"/>
      <c r="J44" s="26"/>
      <c r="K44" s="26"/>
      <c r="L44" s="69" t="s">
        <v>79</v>
      </c>
      <c r="M44" s="26">
        <f>COUNTIF(M8:M43, "Yes")</f>
        <v>5</v>
      </c>
      <c r="N44" s="69">
        <f>COUNTIF(N8:N43, "Yes")</f>
        <v>1</v>
      </c>
      <c r="O44" s="26"/>
      <c r="P44" s="26"/>
      <c r="Q44" s="26"/>
      <c r="R44" s="26"/>
      <c r="S44" s="26"/>
    </row>
    <row r="45" spans="1:19" ht="15.6" x14ac:dyDescent="0.3">
      <c r="A45" s="26"/>
      <c r="B45" s="26"/>
      <c r="C45" s="26"/>
      <c r="D45" s="26"/>
      <c r="E45" s="26"/>
      <c r="F45" s="26"/>
      <c r="G45" s="26"/>
      <c r="H45" s="26"/>
      <c r="I45" s="88"/>
      <c r="J45" s="26"/>
      <c r="K45" s="26"/>
      <c r="L45" s="26"/>
      <c r="M45" s="26"/>
      <c r="N45" s="38" t="s">
        <v>70</v>
      </c>
      <c r="O45" s="114">
        <f>AVERAGE(O8:O43)</f>
        <v>3.3063888888888893</v>
      </c>
      <c r="P45" s="26"/>
      <c r="Q45" s="26"/>
      <c r="R45" s="26"/>
      <c r="S45" s="26"/>
    </row>
    <row r="46" spans="1:19" ht="15.6" x14ac:dyDescent="0.3">
      <c r="A46" s="26"/>
      <c r="B46" s="26"/>
      <c r="C46" s="26"/>
      <c r="D46" s="26"/>
      <c r="E46" s="26"/>
      <c r="F46" s="26"/>
      <c r="G46" s="26"/>
      <c r="H46" s="26"/>
      <c r="I46" s="94"/>
      <c r="J46" s="26"/>
      <c r="K46" s="26"/>
      <c r="L46" s="26"/>
      <c r="M46" s="26"/>
      <c r="N46" s="26"/>
      <c r="O46" s="26"/>
      <c r="P46" s="26"/>
      <c r="Q46" s="26"/>
      <c r="R46" s="26"/>
      <c r="S46" s="26"/>
    </row>
    <row r="47" spans="1:19" ht="15.6" x14ac:dyDescent="0.3">
      <c r="A47" s="41" t="s">
        <v>17</v>
      </c>
      <c r="B47" s="91">
        <f>AVERAGE(B8:B43)</f>
        <v>39.833333333333336</v>
      </c>
      <c r="C47" s="91">
        <f t="shared" ref="C47:J47" si="8">AVERAGE(C8:C43)</f>
        <v>43.463888888888896</v>
      </c>
      <c r="D47" s="91">
        <f t="shared" si="8"/>
        <v>42.25</v>
      </c>
      <c r="E47" s="91">
        <f t="shared" si="8"/>
        <v>19.829675925925923</v>
      </c>
      <c r="F47" s="91">
        <f t="shared" si="8"/>
        <v>37.222222222222221</v>
      </c>
      <c r="G47" s="91">
        <f t="shared" si="8"/>
        <v>42.137499999999996</v>
      </c>
      <c r="H47" s="111">
        <f t="shared" si="8"/>
        <v>0.86598923611111089</v>
      </c>
      <c r="I47" s="111">
        <f t="shared" si="8"/>
        <v>0.86598923611111089</v>
      </c>
      <c r="J47" s="111">
        <f t="shared" si="8"/>
        <v>0.882292013888889</v>
      </c>
      <c r="K47" s="26"/>
      <c r="L47" s="26"/>
      <c r="M47" s="26"/>
      <c r="N47" s="26"/>
      <c r="O47" s="26"/>
      <c r="P47" s="26"/>
      <c r="Q47" s="26"/>
      <c r="R47" s="26"/>
      <c r="S47" s="26"/>
    </row>
    <row r="48" spans="1:19" ht="62.4" x14ac:dyDescent="0.3">
      <c r="A48" s="41" t="s">
        <v>56</v>
      </c>
      <c r="B48" s="91">
        <f>AVERAGEIF(B8:B43, "&gt;=45")</f>
        <v>47.666666666666664</v>
      </c>
      <c r="C48" s="91">
        <f t="shared" ref="C48:G48" si="9">AVERAGEIF(C8:C43, "&gt;=45")</f>
        <v>46.566666666666663</v>
      </c>
      <c r="D48" s="91">
        <f t="shared" si="9"/>
        <v>47.363636363636367</v>
      </c>
      <c r="E48" s="91"/>
      <c r="F48" s="91"/>
      <c r="G48" s="91">
        <f t="shared" si="9"/>
        <v>47.22</v>
      </c>
      <c r="H48" s="91"/>
      <c r="I48" s="92"/>
      <c r="J48" s="93"/>
      <c r="K48" s="26"/>
      <c r="L48" s="26"/>
      <c r="M48" s="26"/>
      <c r="N48" s="26"/>
      <c r="O48" s="26"/>
      <c r="P48" s="26"/>
      <c r="Q48" s="26"/>
      <c r="R48" s="26"/>
      <c r="S48" s="26"/>
    </row>
    <row r="49" spans="1:19" ht="62.4" x14ac:dyDescent="0.3">
      <c r="A49" s="41" t="s">
        <v>57</v>
      </c>
      <c r="B49" s="91">
        <f>AVERAGEIF(B8:B43, "&lt;=40")</f>
        <v>37</v>
      </c>
      <c r="C49" s="91">
        <f t="shared" ref="C49:G49" si="10">AVERAGEIF(C8:C43, "&lt;=40")</f>
        <v>35.666666666666664</v>
      </c>
      <c r="D49" s="91">
        <f t="shared" si="10"/>
        <v>37.307692307692307</v>
      </c>
      <c r="E49" s="91"/>
      <c r="F49" s="91"/>
      <c r="G49" s="91">
        <f t="shared" si="10"/>
        <v>37.442307692307693</v>
      </c>
      <c r="H49" s="91"/>
      <c r="I49" s="92"/>
      <c r="J49" s="93"/>
      <c r="K49" s="26"/>
      <c r="L49" s="26"/>
      <c r="M49" s="26"/>
      <c r="N49" s="26"/>
      <c r="O49" s="26"/>
      <c r="P49" s="26"/>
      <c r="Q49" s="26"/>
      <c r="R49" s="26"/>
      <c r="S49" s="26"/>
    </row>
    <row r="50" spans="1:19" ht="31.2" x14ac:dyDescent="0.3">
      <c r="A50" s="41" t="s">
        <v>18</v>
      </c>
      <c r="B50" s="91">
        <f>STDEV(B8:B43)</f>
        <v>3.9142596453772165</v>
      </c>
      <c r="C50" s="91">
        <f t="shared" ref="C50:J50" si="11">STDEV(C8:C43)</f>
        <v>4.3951696068543109</v>
      </c>
      <c r="D50" s="91">
        <f t="shared" si="11"/>
        <v>4.795086771149939</v>
      </c>
      <c r="E50" s="91">
        <f t="shared" si="11"/>
        <v>0.176023005100228</v>
      </c>
      <c r="F50" s="91">
        <f t="shared" si="11"/>
        <v>1.494965094883701</v>
      </c>
      <c r="G50" s="91">
        <f t="shared" si="11"/>
        <v>4.5553324325924578</v>
      </c>
      <c r="H50" s="111">
        <f t="shared" si="11"/>
        <v>6.4034314263133968E-2</v>
      </c>
      <c r="I50" s="111">
        <f t="shared" si="11"/>
        <v>6.4034314263133968E-2</v>
      </c>
      <c r="J50" s="111">
        <f t="shared" si="11"/>
        <v>6.4099930016730922E-2</v>
      </c>
      <c r="K50" s="26"/>
      <c r="L50" s="26"/>
      <c r="M50" s="26"/>
      <c r="N50" s="26"/>
      <c r="O50" s="26"/>
      <c r="P50" s="26"/>
      <c r="Q50" s="26"/>
      <c r="R50" s="26"/>
      <c r="S50" s="26"/>
    </row>
    <row r="51" spans="1:19" ht="15.6" x14ac:dyDescent="0.3">
      <c r="A51" s="41" t="s">
        <v>19</v>
      </c>
      <c r="B51" s="112">
        <f>MAX(B8:B43)</f>
        <v>50</v>
      </c>
      <c r="C51" s="112">
        <f t="shared" ref="C51:J51" si="12">MAX(C8:C43)</f>
        <v>49.25</v>
      </c>
      <c r="D51" s="112">
        <f t="shared" si="12"/>
        <v>50</v>
      </c>
      <c r="E51" s="112">
        <f t="shared" si="12"/>
        <v>20</v>
      </c>
      <c r="F51" s="112">
        <f t="shared" si="12"/>
        <v>39</v>
      </c>
      <c r="G51" s="112">
        <f t="shared" si="12"/>
        <v>49.5</v>
      </c>
      <c r="H51" s="111">
        <f t="shared" si="12"/>
        <v>0.98687499999999995</v>
      </c>
      <c r="I51" s="111">
        <f t="shared" si="12"/>
        <v>0.98687499999999995</v>
      </c>
      <c r="J51" s="111">
        <f t="shared" si="12"/>
        <v>0.99587499999999984</v>
      </c>
      <c r="K51" s="26"/>
      <c r="L51" s="26"/>
      <c r="M51" s="26"/>
      <c r="N51" s="26"/>
      <c r="O51" s="26"/>
      <c r="P51" s="26"/>
      <c r="Q51" s="26"/>
      <c r="R51" s="26"/>
      <c r="S51" s="26"/>
    </row>
    <row r="52" spans="1:19" ht="15.6" x14ac:dyDescent="0.3">
      <c r="A52" s="41" t="s">
        <v>20</v>
      </c>
      <c r="B52" s="112">
        <f>MIN(B8:B43)</f>
        <v>31</v>
      </c>
      <c r="C52" s="112">
        <f t="shared" ref="C52:J52" si="13">MIN(C8:C43)</f>
        <v>30</v>
      </c>
      <c r="D52" s="112">
        <f t="shared" si="13"/>
        <v>28</v>
      </c>
      <c r="E52" s="112">
        <f t="shared" si="13"/>
        <v>19.123333333333335</v>
      </c>
      <c r="F52" s="112">
        <f t="shared" si="13"/>
        <v>35</v>
      </c>
      <c r="G52" s="112">
        <f t="shared" si="13"/>
        <v>28.599999999999998</v>
      </c>
      <c r="H52" s="111">
        <f t="shared" si="13"/>
        <v>0.67514999999999992</v>
      </c>
      <c r="I52" s="111">
        <f t="shared" si="13"/>
        <v>0.67514999999999992</v>
      </c>
      <c r="J52" s="111">
        <f t="shared" si="13"/>
        <v>0.68815000000000004</v>
      </c>
      <c r="K52" s="26"/>
      <c r="L52" s="26"/>
      <c r="M52" s="26"/>
      <c r="N52" s="26"/>
      <c r="O52" s="26"/>
      <c r="P52" s="26"/>
      <c r="Q52" s="26"/>
      <c r="R52" s="26"/>
      <c r="S52" s="26"/>
    </row>
    <row r="53" spans="1:19" ht="15.6" x14ac:dyDescent="0.3">
      <c r="I53" s="88"/>
    </row>
    <row r="54" spans="1:19" ht="15.6" x14ac:dyDescent="0.3">
      <c r="I54" s="88"/>
    </row>
    <row r="55" spans="1:19" ht="15.6" x14ac:dyDescent="0.3">
      <c r="I55" s="88"/>
    </row>
    <row r="56" spans="1:19" ht="15.6" x14ac:dyDescent="0.3">
      <c r="I56" s="88"/>
    </row>
    <row r="57" spans="1:19" ht="15.6" x14ac:dyDescent="0.3">
      <c r="I57" s="88"/>
    </row>
    <row r="58" spans="1:19" ht="15.6" x14ac:dyDescent="0.3">
      <c r="I58" s="88"/>
    </row>
    <row r="59" spans="1:19" ht="15.6" x14ac:dyDescent="0.3">
      <c r="I59" s="88"/>
    </row>
    <row r="60" spans="1:19" ht="15.6" x14ac:dyDescent="0.3">
      <c r="I60" s="88"/>
    </row>
    <row r="61" spans="1:19" ht="15.6" x14ac:dyDescent="0.3">
      <c r="I61" s="88"/>
    </row>
    <row r="62" spans="1:19" ht="15.6" x14ac:dyDescent="0.3">
      <c r="I62" s="88"/>
    </row>
    <row r="63" spans="1:19" ht="15.6" x14ac:dyDescent="0.3">
      <c r="I63" s="88"/>
    </row>
    <row r="64" spans="1:19" ht="15.6" x14ac:dyDescent="0.3">
      <c r="I64" s="88"/>
    </row>
    <row r="65" spans="9:9" ht="15.6" x14ac:dyDescent="0.3">
      <c r="I65" s="88"/>
    </row>
    <row r="66" spans="9:9" ht="15.6" x14ac:dyDescent="0.3">
      <c r="I66" s="88"/>
    </row>
    <row r="67" spans="9:9" ht="15.6" x14ac:dyDescent="0.3">
      <c r="I67" s="88"/>
    </row>
    <row r="68" spans="9:9" ht="15.6" x14ac:dyDescent="0.3">
      <c r="I68" s="88"/>
    </row>
    <row r="69" spans="9:9" ht="15.6" x14ac:dyDescent="0.3">
      <c r="I69" s="88"/>
    </row>
    <row r="70" spans="9:9" ht="15.6" x14ac:dyDescent="0.3">
      <c r="I70" s="88"/>
    </row>
    <row r="71" spans="9:9" ht="15.6" x14ac:dyDescent="0.3">
      <c r="I71" s="88"/>
    </row>
    <row r="72" spans="9:9" ht="15.6" x14ac:dyDescent="0.3">
      <c r="I72" s="88"/>
    </row>
    <row r="73" spans="9:9" ht="15.6" x14ac:dyDescent="0.3">
      <c r="I73" s="88"/>
    </row>
    <row r="74" spans="9:9" ht="15.6" x14ac:dyDescent="0.3">
      <c r="I74" s="88"/>
    </row>
    <row r="75" spans="9:9" ht="15.6" x14ac:dyDescent="0.3">
      <c r="I75" s="88"/>
    </row>
    <row r="76" spans="9:9" ht="15.6" x14ac:dyDescent="0.3">
      <c r="I76" s="88"/>
    </row>
    <row r="77" spans="9:9" ht="15.6" x14ac:dyDescent="0.3">
      <c r="I77" s="88"/>
    </row>
    <row r="78" spans="9:9" ht="15.6" x14ac:dyDescent="0.3">
      <c r="I78" s="88"/>
    </row>
    <row r="79" spans="9:9" ht="15.6" x14ac:dyDescent="0.3">
      <c r="I79" s="44"/>
    </row>
    <row r="80" spans="9:9" ht="15.6" x14ac:dyDescent="0.3">
      <c r="I80" s="44"/>
    </row>
    <row r="81" spans="9:9" ht="15.6" x14ac:dyDescent="0.3">
      <c r="I81" s="44"/>
    </row>
    <row r="82" spans="9:9" ht="15.6" x14ac:dyDescent="0.3">
      <c r="I82" s="44"/>
    </row>
    <row r="83" spans="9:9" ht="15.6" x14ac:dyDescent="0.3">
      <c r="I83" s="44"/>
    </row>
    <row r="84" spans="9:9" ht="15.6" x14ac:dyDescent="0.3">
      <c r="I84" s="44"/>
    </row>
    <row r="85" spans="9:9" ht="15.6" x14ac:dyDescent="0.3">
      <c r="I85" s="44"/>
    </row>
    <row r="86" spans="9:9" ht="15.6" x14ac:dyDescent="0.3">
      <c r="I86" s="44"/>
    </row>
    <row r="87" spans="9:9" ht="15.6" x14ac:dyDescent="0.3">
      <c r="I87" s="44"/>
    </row>
    <row r="88" spans="9:9" x14ac:dyDescent="0.3">
      <c r="I88" s="53"/>
    </row>
    <row r="89" spans="9:9" x14ac:dyDescent="0.3">
      <c r="I89" s="53"/>
    </row>
    <row r="90" spans="9:9" x14ac:dyDescent="0.3">
      <c r="I90" s="53"/>
    </row>
    <row r="91" spans="9:9" x14ac:dyDescent="0.3">
      <c r="I91" s="53"/>
    </row>
    <row r="92" spans="9:9" x14ac:dyDescent="0.3">
      <c r="I92" s="89"/>
    </row>
    <row r="93" spans="9:9" x14ac:dyDescent="0.3">
      <c r="I93" s="89"/>
    </row>
    <row r="94" spans="9:9" x14ac:dyDescent="0.3">
      <c r="I94" s="89"/>
    </row>
    <row r="95" spans="9:9" x14ac:dyDescent="0.3">
      <c r="I95" s="89"/>
    </row>
    <row r="96" spans="9:9" x14ac:dyDescent="0.3">
      <c r="I96" s="89"/>
    </row>
    <row r="97" spans="9:9" x14ac:dyDescent="0.3">
      <c r="I97" s="89"/>
    </row>
    <row r="98" spans="9:9" x14ac:dyDescent="0.3">
      <c r="I98" s="89"/>
    </row>
    <row r="99" spans="9:9" x14ac:dyDescent="0.3">
      <c r="I99" s="89"/>
    </row>
    <row r="100" spans="9:9" x14ac:dyDescent="0.3">
      <c r="I100" s="89"/>
    </row>
    <row r="101" spans="9:9" x14ac:dyDescent="0.3">
      <c r="I101" s="89"/>
    </row>
    <row r="102" spans="9:9" x14ac:dyDescent="0.3">
      <c r="I102" s="89"/>
    </row>
    <row r="103" spans="9:9" x14ac:dyDescent="0.3">
      <c r="I103" s="89"/>
    </row>
    <row r="104" spans="9:9" x14ac:dyDescent="0.3">
      <c r="I104" s="89"/>
    </row>
    <row r="105" spans="9:9" x14ac:dyDescent="0.3">
      <c r="I105" s="89"/>
    </row>
    <row r="106" spans="9:9" x14ac:dyDescent="0.3">
      <c r="I106" s="89"/>
    </row>
    <row r="107" spans="9:9" x14ac:dyDescent="0.3">
      <c r="I107" s="89"/>
    </row>
    <row r="108" spans="9:9" x14ac:dyDescent="0.3">
      <c r="I108" s="89"/>
    </row>
    <row r="109" spans="9:9" x14ac:dyDescent="0.3">
      <c r="I109" s="89"/>
    </row>
    <row r="110" spans="9:9" x14ac:dyDescent="0.3">
      <c r="I110" s="89"/>
    </row>
    <row r="111" spans="9:9" x14ac:dyDescent="0.3">
      <c r="I111" s="89"/>
    </row>
    <row r="112" spans="9:9" x14ac:dyDescent="0.3">
      <c r="I112" s="89"/>
    </row>
    <row r="113" spans="9:9" x14ac:dyDescent="0.3">
      <c r="I113" s="89"/>
    </row>
    <row r="114" spans="9:9" x14ac:dyDescent="0.3">
      <c r="I114" s="89"/>
    </row>
    <row r="115" spans="9:9" x14ac:dyDescent="0.3">
      <c r="I115" s="89"/>
    </row>
  </sheetData>
  <sortState ref="R23:R26">
    <sortCondition ref="R23"/>
  </sortState>
  <dataConsolidate/>
  <conditionalFormatting sqref="H8:H43">
    <cfRule type="top10" priority="2" rank="10"/>
  </conditionalFormatting>
  <conditionalFormatting sqref="H8:H43">
    <cfRule type="top10" dxfId="0" priority="1" rank="10"/>
  </conditionalFormatting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4"/>
  <sheetViews>
    <sheetView tabSelected="1" topLeftCell="A14" zoomScale="85" zoomScaleNormal="85" workbookViewId="0">
      <selection activeCell="A27" sqref="A27"/>
    </sheetView>
  </sheetViews>
  <sheetFormatPr defaultColWidth="8.77734375" defaultRowHeight="14.4" x14ac:dyDescent="0.3"/>
  <cols>
    <col min="1" max="1" width="16.33203125" customWidth="1"/>
    <col min="2" max="2" width="15.109375" customWidth="1"/>
    <col min="3" max="3" width="14.109375" customWidth="1"/>
    <col min="4" max="4" width="13.77734375" customWidth="1"/>
    <col min="5" max="5" width="17.44140625" customWidth="1"/>
    <col min="6" max="6" width="13.33203125" customWidth="1"/>
    <col min="7" max="7" width="15.44140625" bestFit="1" customWidth="1"/>
    <col min="8" max="8" width="14.44140625" customWidth="1"/>
    <col min="9" max="9" width="18.77734375" customWidth="1"/>
    <col min="10" max="10" width="17" customWidth="1"/>
    <col min="11" max="11" width="13.44140625" customWidth="1"/>
    <col min="12" max="12" width="13.109375" customWidth="1"/>
    <col min="13" max="13" width="12.6640625" customWidth="1"/>
    <col min="14" max="14" width="16.5546875" bestFit="1" customWidth="1"/>
    <col min="15" max="17" width="12.6640625" customWidth="1"/>
    <col min="18" max="18" width="12.77734375" bestFit="1" customWidth="1"/>
    <col min="19" max="23" width="12.6640625" customWidth="1"/>
    <col min="25" max="25" width="17.33203125" customWidth="1"/>
    <col min="26" max="26" width="17.44140625" customWidth="1"/>
    <col min="27" max="29" width="20.77734375" customWidth="1"/>
    <col min="30" max="30" width="13.33203125" bestFit="1" customWidth="1"/>
    <col min="31" max="31" width="14.33203125" bestFit="1" customWidth="1"/>
  </cols>
  <sheetData>
    <row r="1" spans="1:30" s="96" customFormat="1" ht="31.2" x14ac:dyDescent="0.6">
      <c r="A1" s="95" t="s">
        <v>43</v>
      </c>
      <c r="B1" s="95"/>
      <c r="C1" s="95"/>
      <c r="E1" s="47" t="s">
        <v>52</v>
      </c>
      <c r="F1" s="97"/>
      <c r="G1" s="97"/>
      <c r="H1" s="97"/>
      <c r="I1" s="97"/>
      <c r="J1" s="97"/>
    </row>
    <row r="2" spans="1:30" ht="15" thickBot="1" x14ac:dyDescent="0.35">
      <c r="AD2" s="3"/>
    </row>
    <row r="3" spans="1:30" s="69" customFormat="1" ht="47.4" thickBot="1" x14ac:dyDescent="0.35">
      <c r="A3" s="73" t="s">
        <v>44</v>
      </c>
      <c r="B3" s="68"/>
      <c r="C3" s="68"/>
      <c r="D3" s="68"/>
      <c r="E3" s="67"/>
      <c r="F3" s="67"/>
      <c r="H3" s="62" t="s">
        <v>42</v>
      </c>
      <c r="I3" s="63" t="s">
        <v>75</v>
      </c>
      <c r="J3" s="63" t="s">
        <v>76</v>
      </c>
      <c r="K3" s="63" t="s">
        <v>77</v>
      </c>
      <c r="Y3" s="70" t="s">
        <v>24</v>
      </c>
      <c r="Z3" s="70"/>
      <c r="AA3" s="70"/>
      <c r="AB3" s="79"/>
      <c r="AC3" s="79"/>
      <c r="AD3" s="71"/>
    </row>
    <row r="4" spans="1:30" ht="58.2" thickBot="1" x14ac:dyDescent="0.4">
      <c r="A4" s="59" t="s">
        <v>27</v>
      </c>
      <c r="B4" s="54">
        <v>90000</v>
      </c>
      <c r="C4" s="54"/>
      <c r="D4" s="59"/>
      <c r="E4" s="59" t="s">
        <v>28</v>
      </c>
      <c r="F4" s="55">
        <v>0.06</v>
      </c>
      <c r="H4" s="64">
        <v>0</v>
      </c>
      <c r="I4" s="65">
        <v>1</v>
      </c>
      <c r="J4" s="66">
        <v>0</v>
      </c>
      <c r="K4" s="66">
        <v>0</v>
      </c>
      <c r="Y4" s="82" t="s">
        <v>25</v>
      </c>
      <c r="Z4" s="83">
        <v>0.8</v>
      </c>
      <c r="AA4" s="9" t="s">
        <v>26</v>
      </c>
      <c r="AB4" s="80"/>
      <c r="AC4" s="80"/>
      <c r="AD4" s="3"/>
    </row>
    <row r="5" spans="1:30" ht="36.6" thickBot="1" x14ac:dyDescent="0.4">
      <c r="A5" s="59" t="s">
        <v>30</v>
      </c>
      <c r="B5" s="54">
        <v>50000</v>
      </c>
      <c r="C5" s="54"/>
      <c r="D5" s="59"/>
      <c r="E5" s="59" t="s">
        <v>31</v>
      </c>
      <c r="F5" s="55">
        <v>0.08</v>
      </c>
      <c r="H5" s="64">
        <v>41</v>
      </c>
      <c r="I5" s="65">
        <v>0.8</v>
      </c>
      <c r="J5" s="65">
        <v>0.2</v>
      </c>
      <c r="K5" s="66">
        <v>0</v>
      </c>
      <c r="Y5" s="82" t="s">
        <v>29</v>
      </c>
      <c r="Z5" s="83">
        <v>0.03</v>
      </c>
      <c r="AA5" s="9"/>
      <c r="AB5" s="80"/>
      <c r="AC5" s="80"/>
      <c r="AD5" s="3"/>
    </row>
    <row r="6" spans="1:30" ht="54.6" thickBot="1" x14ac:dyDescent="0.4">
      <c r="A6" s="59" t="s">
        <v>33</v>
      </c>
      <c r="B6" s="54">
        <v>25000</v>
      </c>
      <c r="C6" s="54"/>
      <c r="D6" s="59"/>
      <c r="E6" s="59" t="s">
        <v>35</v>
      </c>
      <c r="F6" s="56">
        <v>3000</v>
      </c>
      <c r="H6" s="64">
        <v>46</v>
      </c>
      <c r="I6" s="65">
        <v>0.75</v>
      </c>
      <c r="J6" s="65">
        <v>0.25</v>
      </c>
      <c r="K6" s="66">
        <v>0</v>
      </c>
      <c r="Y6" s="82" t="s">
        <v>32</v>
      </c>
      <c r="Z6" s="83">
        <v>0.04</v>
      </c>
      <c r="AA6" s="9"/>
      <c r="AB6" s="80"/>
      <c r="AC6" s="80"/>
      <c r="AD6" s="3"/>
    </row>
    <row r="7" spans="1:30" ht="41.25" customHeight="1" thickBot="1" x14ac:dyDescent="0.4">
      <c r="A7" s="59" t="s">
        <v>34</v>
      </c>
      <c r="B7" s="55">
        <v>0.03</v>
      </c>
      <c r="C7" s="55"/>
      <c r="D7" s="59"/>
      <c r="E7" s="59" t="s">
        <v>36</v>
      </c>
      <c r="F7" s="120">
        <v>0.05</v>
      </c>
      <c r="H7" s="64">
        <v>51</v>
      </c>
      <c r="I7" s="65">
        <v>0.7</v>
      </c>
      <c r="J7" s="65">
        <v>0.3</v>
      </c>
      <c r="K7" s="66">
        <v>0</v>
      </c>
      <c r="Y7" s="84" t="s">
        <v>61</v>
      </c>
      <c r="Z7" s="85">
        <v>30000</v>
      </c>
      <c r="AA7" s="10"/>
      <c r="AB7" s="81"/>
      <c r="AC7" s="81"/>
      <c r="AD7" s="3"/>
    </row>
    <row r="8" spans="1:30" ht="54.6" thickBot="1" x14ac:dyDescent="0.4">
      <c r="A8" s="59" t="s">
        <v>50</v>
      </c>
      <c r="B8" s="55" t="s">
        <v>86</v>
      </c>
      <c r="C8" s="55"/>
      <c r="D8" s="59"/>
      <c r="E8" s="59" t="s">
        <v>48</v>
      </c>
      <c r="F8" s="61">
        <v>6000</v>
      </c>
      <c r="H8" s="64">
        <v>56</v>
      </c>
      <c r="I8" s="65">
        <v>0.6</v>
      </c>
      <c r="J8" s="65">
        <v>0.3</v>
      </c>
      <c r="K8" s="65">
        <v>0.1</v>
      </c>
      <c r="Y8" s="86" t="s">
        <v>73</v>
      </c>
      <c r="Z8" s="87">
        <v>5.0000000000000001E-3</v>
      </c>
      <c r="AA8" s="3"/>
      <c r="AB8" s="3"/>
      <c r="AC8" s="3"/>
      <c r="AD8" s="3"/>
    </row>
    <row r="9" spans="1:30" ht="36" customHeight="1" thickBot="1" x14ac:dyDescent="0.4">
      <c r="A9" s="59" t="s">
        <v>60</v>
      </c>
      <c r="B9" s="58">
        <v>0.15</v>
      </c>
      <c r="C9" s="57"/>
      <c r="D9" s="59"/>
      <c r="E9" s="59" t="s">
        <v>49</v>
      </c>
      <c r="F9" s="161">
        <v>0.3</v>
      </c>
      <c r="H9" s="64">
        <v>61</v>
      </c>
      <c r="I9" s="65">
        <v>0.4</v>
      </c>
      <c r="J9" s="65">
        <v>0.4</v>
      </c>
      <c r="K9" s="65">
        <v>0.2</v>
      </c>
      <c r="Y9" s="86" t="s">
        <v>106</v>
      </c>
      <c r="Z9" s="159">
        <f>R52</f>
        <v>6603214.9775645789</v>
      </c>
    </row>
    <row r="10" spans="1:30" ht="48" customHeight="1" x14ac:dyDescent="0.35">
      <c r="A10" s="59" t="s">
        <v>51</v>
      </c>
      <c r="B10" s="115">
        <v>32</v>
      </c>
      <c r="C10" s="57"/>
      <c r="D10" s="59"/>
      <c r="E10" s="59" t="s">
        <v>63</v>
      </c>
      <c r="F10" s="60">
        <v>0.25</v>
      </c>
      <c r="G10" s="143">
        <v>1</v>
      </c>
    </row>
    <row r="11" spans="1:30" ht="48" customHeight="1" x14ac:dyDescent="0.3">
      <c r="A11" s="48"/>
      <c r="B11" s="49"/>
      <c r="C11" s="50"/>
      <c r="D11" s="48"/>
      <c r="E11" s="48"/>
      <c r="F11" s="51"/>
      <c r="H11" s="74" t="s">
        <v>78</v>
      </c>
      <c r="I11" s="75">
        <v>0.1</v>
      </c>
      <c r="J11" s="75">
        <v>0.04</v>
      </c>
      <c r="K11" s="75">
        <v>0.01</v>
      </c>
    </row>
    <row r="12" spans="1:30" ht="15" thickBot="1" x14ac:dyDescent="0.35">
      <c r="A12" s="48"/>
      <c r="B12" s="52"/>
      <c r="C12" s="52"/>
      <c r="D12" s="53"/>
      <c r="E12" s="23"/>
      <c r="F12" s="23"/>
    </row>
    <row r="13" spans="1:30" ht="15" thickBot="1" x14ac:dyDescent="0.35">
      <c r="C13" s="53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2"/>
      <c r="O13" s="22"/>
      <c r="P13" s="22"/>
      <c r="Q13" s="22"/>
      <c r="R13" s="22"/>
      <c r="S13" s="22"/>
      <c r="T13" s="22"/>
      <c r="U13" s="22"/>
      <c r="V13" s="22"/>
      <c r="W13" s="22"/>
      <c r="Y13" s="104" t="s">
        <v>37</v>
      </c>
      <c r="Z13" s="105"/>
      <c r="AA13" s="105"/>
      <c r="AB13" s="105"/>
      <c r="AC13" s="105"/>
      <c r="AD13" s="106"/>
    </row>
    <row r="14" spans="1:30" x14ac:dyDescent="0.3">
      <c r="C14" s="53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2"/>
      <c r="O14" s="22"/>
      <c r="P14" s="22"/>
      <c r="Q14" s="22"/>
      <c r="R14" s="22"/>
      <c r="S14" s="22"/>
      <c r="T14" s="22"/>
      <c r="U14" s="22"/>
      <c r="V14" s="22"/>
      <c r="W14" s="22"/>
      <c r="Y14" s="25"/>
      <c r="Z14" s="25"/>
      <c r="AA14" s="25"/>
      <c r="AB14" s="25"/>
      <c r="AC14" s="25"/>
      <c r="AD14" s="25"/>
    </row>
    <row r="15" spans="1:30" x14ac:dyDescent="0.3">
      <c r="C15" s="53"/>
      <c r="D15" s="24"/>
      <c r="E15" s="53"/>
      <c r="F15" s="53"/>
      <c r="G15" s="119">
        <v>6000</v>
      </c>
      <c r="H15" s="24"/>
      <c r="I15" s="53"/>
      <c r="J15" s="53"/>
      <c r="K15" s="77"/>
      <c r="L15" s="78"/>
      <c r="M15" s="78"/>
    </row>
    <row r="16" spans="1:30" s="1" customFormat="1" ht="66" x14ac:dyDescent="0.25">
      <c r="A16" s="4" t="s">
        <v>42</v>
      </c>
      <c r="B16" s="117" t="s">
        <v>87</v>
      </c>
      <c r="C16" s="46" t="s">
        <v>80</v>
      </c>
      <c r="D16" s="76" t="s">
        <v>81</v>
      </c>
      <c r="E16" s="76" t="s">
        <v>85</v>
      </c>
      <c r="F16" s="76" t="s">
        <v>89</v>
      </c>
      <c r="G16" s="76" t="s">
        <v>90</v>
      </c>
      <c r="H16" s="76" t="s">
        <v>82</v>
      </c>
      <c r="I16" s="117" t="s">
        <v>92</v>
      </c>
      <c r="J16" s="76" t="s">
        <v>88</v>
      </c>
      <c r="K16" s="76" t="s">
        <v>84</v>
      </c>
      <c r="L16" s="126" t="s">
        <v>97</v>
      </c>
      <c r="M16" s="126" t="s">
        <v>98</v>
      </c>
      <c r="N16" s="76" t="s">
        <v>91</v>
      </c>
      <c r="O16" s="126" t="s">
        <v>93</v>
      </c>
      <c r="P16" s="76" t="s">
        <v>83</v>
      </c>
      <c r="Q16" s="122" t="s">
        <v>94</v>
      </c>
      <c r="R16" s="122" t="s">
        <v>95</v>
      </c>
      <c r="S16" s="122" t="s">
        <v>96</v>
      </c>
      <c r="T16" s="122" t="s">
        <v>104</v>
      </c>
      <c r="U16" s="122" t="s">
        <v>101</v>
      </c>
      <c r="V16" s="122" t="s">
        <v>102</v>
      </c>
      <c r="W16" s="122" t="s">
        <v>103</v>
      </c>
      <c r="Y16" s="6" t="s">
        <v>38</v>
      </c>
      <c r="Z16" s="7" t="s">
        <v>39</v>
      </c>
      <c r="AA16" s="7" t="s">
        <v>40</v>
      </c>
      <c r="AB16" s="7" t="s">
        <v>61</v>
      </c>
      <c r="AC16" s="7" t="s">
        <v>73</v>
      </c>
      <c r="AD16" s="7" t="s">
        <v>41</v>
      </c>
    </row>
    <row r="17" spans="1:30" x14ac:dyDescent="0.3">
      <c r="A17" s="5">
        <v>30</v>
      </c>
      <c r="B17" s="116">
        <v>0</v>
      </c>
      <c r="C17" s="45">
        <f>B4</f>
        <v>90000</v>
      </c>
      <c r="D17" s="45">
        <f>0.08*C17</f>
        <v>7200</v>
      </c>
      <c r="E17" s="45">
        <f>0.06*C17</f>
        <v>5400</v>
      </c>
      <c r="F17" s="45" t="str">
        <f>IF(ISEVEN(A17), "YES", "NO")</f>
        <v>YES</v>
      </c>
      <c r="G17" s="45">
        <v>0</v>
      </c>
      <c r="H17" s="45">
        <v>0</v>
      </c>
      <c r="I17" s="45">
        <f>$F$6*(1+$F$7)^B17+$F$10*N17</f>
        <v>6375</v>
      </c>
      <c r="J17" s="121">
        <v>0</v>
      </c>
      <c r="K17" s="45">
        <f>I17+B6</f>
        <v>31375</v>
      </c>
      <c r="L17" s="136">
        <f>I17+B6</f>
        <v>31375</v>
      </c>
      <c r="M17" s="137">
        <v>0</v>
      </c>
      <c r="N17" s="45">
        <f>$B$9*C17</f>
        <v>13500</v>
      </c>
      <c r="O17" s="125">
        <f>D17+E17</f>
        <v>12600</v>
      </c>
      <c r="P17" s="45">
        <f>B5+O17</f>
        <v>62600</v>
      </c>
      <c r="Q17" s="45">
        <v>0</v>
      </c>
      <c r="R17" s="45">
        <f>P17+K17</f>
        <v>93975</v>
      </c>
      <c r="S17" s="45">
        <f>P17+L17</f>
        <v>93975</v>
      </c>
      <c r="T17" s="45">
        <f>$F$6*(1+$F$7)^B17+$G$10*($B$9*C17)</f>
        <v>16500</v>
      </c>
      <c r="U17" s="45">
        <f>B6+T17</f>
        <v>41500</v>
      </c>
      <c r="V17" s="156">
        <v>0</v>
      </c>
      <c r="W17" s="45">
        <f>U17+R17</f>
        <v>135475</v>
      </c>
      <c r="Y17" s="8">
        <v>66</v>
      </c>
      <c r="Z17" s="160">
        <f>Z9</f>
        <v>6603214.9775645789</v>
      </c>
      <c r="AA17" s="160">
        <f>Z4*C52</f>
        <v>202598.0967147499</v>
      </c>
      <c r="AB17" s="160">
        <f>$Z$7</f>
        <v>30000</v>
      </c>
      <c r="AC17" s="160">
        <v>0</v>
      </c>
      <c r="AD17" s="160">
        <f>Z17-AA17-AB17-AC17</f>
        <v>6370616.8808498289</v>
      </c>
    </row>
    <row r="18" spans="1:30" x14ac:dyDescent="0.3">
      <c r="A18" s="5">
        <f t="shared" ref="A18:A52" si="0">A17+1</f>
        <v>31</v>
      </c>
      <c r="B18" s="116">
        <v>1</v>
      </c>
      <c r="C18" s="45">
        <f>C17*(1+$B$7)</f>
        <v>92700</v>
      </c>
      <c r="D18" s="45">
        <f t="shared" ref="D18:D52" si="1">0.08*C18</f>
        <v>7416</v>
      </c>
      <c r="E18" s="45">
        <f>0.06*C18</f>
        <v>5562</v>
      </c>
      <c r="F18" s="45" t="str">
        <f>IF(ISEVEN(A18), "YES", "NO")</f>
        <v>NO</v>
      </c>
      <c r="G18" s="45">
        <f>(C18-C17)*$F$9</f>
        <v>810</v>
      </c>
      <c r="H18" s="45">
        <f t="shared" ref="H18" si="2">IF(F18="YES",IF(G18&gt;$G$15,$G$15,G18),0)</f>
        <v>0</v>
      </c>
      <c r="I18" s="45">
        <f t="shared" ref="I18:I52" si="3">$F$6*(1+$F$7)^B18+$F$10*N18</f>
        <v>6626.25</v>
      </c>
      <c r="J18" s="45">
        <f>IF(A18&lt;$H$5,SUMPRODUCT((K17+I18)*$I$4:$K$4,$I$11:$K$11),IF(A18&lt;$H$6,SUMPRODUCT((K17+I18)*$I$5:$K$5,$I$11:$K$11),IF(A18&lt;$H$7,SUMPRODUCT((K17+I18)*$I$6:$K$6,$I$11:$K$11),IF(A18&lt;$H$8,SUMPRODUCT((K17+I18)*$I$7:$K$7,$I$11:$K$11),IF(A18&lt;$H$9,SUMPRODUCT((K17+I18)*$I$8:$K$8,$I$11:$K$11),SUMPRODUCT((K17+I18)*$I$9:$K$9,$I$11:$K$11))))))</f>
        <v>3800.125</v>
      </c>
      <c r="K18" s="45">
        <f>I18+J18+K17-H18</f>
        <v>41801.375</v>
      </c>
      <c r="L18" s="136">
        <f>L17+M18+I18</f>
        <v>41801.375</v>
      </c>
      <c r="M18" s="138">
        <f>IF(A18&lt;$H$5,SUMPRODUCT((L17+I18)*$I$4:$K$4,$I$11:$K$11),IF(A18&lt;$H$6,SUMPRODUCT((L17+I18)*$I$5:$K$5,$I$11:$K$11),IF(A18&lt;$H$7,SUMPRODUCT((L17+I18)*$I$6:$K$6,$I$11:$K$11),IF(A18&lt;$H$8,SUMPRODUCT((L17+I18)*$I$7:$K$7,$I$11:$K$11),IF(A18&lt;$H$9,SUMPRODUCT((L17+I18)*$I$8:$K$8,$I$11:$K$11),SUMPRODUCT((L17+I18)*$I$9:$K$9,$I$11:$K$11))))))</f>
        <v>3800.125</v>
      </c>
      <c r="N18" s="45">
        <f>$B$9*C18</f>
        <v>13905</v>
      </c>
      <c r="O18" s="125">
        <f>D18+E18</f>
        <v>12978</v>
      </c>
      <c r="P18" s="45">
        <f>P17+O18+Q18</f>
        <v>83135.8</v>
      </c>
      <c r="Q18" s="45">
        <f>IF(A18&lt;$H$5,SUMPRODUCT((P17+O18)*$I$4:$K$4,$I$11:$K$11),IF(A18&lt;$H$6,SUMPRODUCT((P17+O18)*$I$5:$K$5,$I$11:$K$11),IF(A18&lt;$H$7,SUMPRODUCT((P17+O18)*$I$6:$K$6,$I$11:$K$11),IF(A18&lt;$H$8,SUMPRODUCT((P17+O18)*$I$7:$K$7,$I$11:$K$11),IF(A18&lt;$H$9,SUMPRODUCT((P17+O18)*$I$8:$K$8,$I$11:$K$11),SUMPRODUCT((P17+O18)*$I$9:$K$9,$I$11:$K$11))))))</f>
        <v>7557.8</v>
      </c>
      <c r="R18" s="45">
        <f>P18+K18</f>
        <v>124937.175</v>
      </c>
      <c r="S18" s="45">
        <f t="shared" ref="S18:S52" si="4">P18+L18</f>
        <v>124937.175</v>
      </c>
      <c r="T18" s="45">
        <f t="shared" ref="T18:T52" si="5">$F$6*(1+$F$7)^B18+$G$10*($B$9*C18)</f>
        <v>17055</v>
      </c>
      <c r="U18" s="155">
        <f>U17+V18+T18</f>
        <v>64410.5</v>
      </c>
      <c r="V18" s="45">
        <f>IF(A18&lt;$H$5,SUMPRODUCT((U17+T18)*$I$4:$K$4,$I$11:$K$11),IF(A18&lt;$H$6,SUMPRODUCT((U17+T18)*$I$5:$K$5,$I$11:$K$11),IF(A18&lt;$H$7,SUMPRODUCT((U17+T18)*$I$6:$K$6,$I$11:$K$11),IF(A18&lt;$H$8,SUMPRODUCT((U17+T18)*$I$7:$K$7,$I$11:$K$11),IF(A18&lt;$H$9,SUMPRODUCT((U17+T18)*$I$8:$K$8,$I$11:$K$11),SUMPRODUCT((U17+T18)*$I$9:$K$9,$I$11:$K$11))))))</f>
        <v>5855.5</v>
      </c>
      <c r="W18" s="45">
        <f t="shared" ref="W18:W52" si="6">U18+R18</f>
        <v>189347.67499999999</v>
      </c>
      <c r="Y18" s="8">
        <v>67</v>
      </c>
      <c r="Z18" s="160">
        <f>AD17*(1+$Z$5)</f>
        <v>6561735.3872753242</v>
      </c>
      <c r="AA18" s="160">
        <f>AA17*(1+$Z$6)</f>
        <v>210702.02058333991</v>
      </c>
      <c r="AB18" s="160">
        <f t="shared" ref="AB18:AB52" si="7">$Z$7</f>
        <v>30000</v>
      </c>
      <c r="AC18" s="160">
        <f>0.5%*AD17</f>
        <v>31853.084404249144</v>
      </c>
      <c r="AD18" s="160">
        <f t="shared" ref="AD18:AD52" si="8">Z18-AA18-AB18-AC18</f>
        <v>6289180.2822877355</v>
      </c>
    </row>
    <row r="19" spans="1:30" x14ac:dyDescent="0.3">
      <c r="A19" s="5">
        <f t="shared" si="0"/>
        <v>32</v>
      </c>
      <c r="B19" s="116">
        <v>2</v>
      </c>
      <c r="C19" s="45">
        <f t="shared" ref="C19:C52" si="9">C18*(1+$B$7)</f>
        <v>95481</v>
      </c>
      <c r="D19" s="45">
        <f t="shared" si="1"/>
        <v>7638.4800000000005</v>
      </c>
      <c r="E19" s="45">
        <f>0.06*C19</f>
        <v>5728.86</v>
      </c>
      <c r="F19" s="45" t="str">
        <f>IF(ISEVEN(A19), "YES", "NO")</f>
        <v>YES</v>
      </c>
      <c r="G19" s="45">
        <f t="shared" ref="G19:G52" si="10">(C19-C18)*$F$9</f>
        <v>834.3</v>
      </c>
      <c r="H19" s="45">
        <f>IF(F19="YES",IF(G19&gt;$G$15,$G$15,G19),0)</f>
        <v>834.3</v>
      </c>
      <c r="I19" s="45">
        <f t="shared" si="3"/>
        <v>6888.0375000000004</v>
      </c>
      <c r="J19" s="45">
        <f>IF(A19&lt;$H$5,SUMPRODUCT((K18+I19)*$I$4:$K$4,$I$11:$K$11),IF(A19&lt;$H$6,SUMPRODUCT((K18+I19)*$I$5:$K$5,$I$11:$K$11),IF(A19&lt;$H$7,SUMPRODUCT((K18+I19)*$I$6:$K$6,$I$11:$K$11),IF(A19&lt;$H$8,SUMPRODUCT((K18+I19)*$I$7:$K$7,$I$11:$K$11),IF(A19&lt;$H$9,SUMPRODUCT((K18+I19)*$I$8:$K$8,$I$11:$K$11),SUMPRODUCT((K18+I19)*$I$9:$K$9,$I$11:$K$11))))))</f>
        <v>4868.9412499999999</v>
      </c>
      <c r="K19" s="45">
        <f>I19+J19+K18-H19</f>
        <v>52724.053749999999</v>
      </c>
      <c r="L19" s="136">
        <f t="shared" ref="L19:L52" si="11">L18+M19+I19</f>
        <v>53558.353750000002</v>
      </c>
      <c r="M19" s="138">
        <f>IF(A19&lt;$H$5,SUMPRODUCT((L18+I19)*$I$4:$K$4,$I$11:$K$11),IF(A19&lt;$H$6,SUMPRODUCT((L18+I19)*$I$5:$K$5,$I$11:$K$11),IF(A19&lt;$H$7,SUMPRODUCT((L18+I19)*$I$6:$K$6,$I$11:$K$11),IF(A19&lt;$H$8,SUMPRODUCT((L18+I19)*$I$7:$K$7,$I$11:$K$11),IF(A19&lt;$H$9,SUMPRODUCT((L18+I19)*$I$8:$K$8,$I$11:$K$11),SUMPRODUCT((L18+I19)*$I$9:$K$9,$I$11:$K$11))))))</f>
        <v>4868.9412499999999</v>
      </c>
      <c r="N19" s="45">
        <f>$B$9*C19</f>
        <v>14322.15</v>
      </c>
      <c r="O19" s="125">
        <f>D19+E19</f>
        <v>13367.34</v>
      </c>
      <c r="P19" s="45">
        <f t="shared" ref="P19:P52" si="12">P18+O19+Q19</f>
        <v>106153.454</v>
      </c>
      <c r="Q19" s="45">
        <f>IF(A19&lt;$H$5,SUMPRODUCT((P18+O19)*$I$4:$K$4,$I$11:$K$11),IF(A19&lt;$H$6,SUMPRODUCT((P18+O19)*$I$5:$K$5,$I$11:$K$11),IF(A19&lt;$H$7,SUMPRODUCT((P18+O19)*$I$6:$K$6,$I$11:$K$11),IF(A19&lt;$H$8,SUMPRODUCT((P18+O19)*$I$7:$K$7,$I$11:$K$11),IF(A19&lt;$H$9,SUMPRODUCT((P18+O19)*$I$8:$K$8,$I$11:$K$11),SUMPRODUCT((P18+O19)*$I$9:$K$9,$I$11:$K$11))))))</f>
        <v>9650.3140000000003</v>
      </c>
      <c r="R19" s="45">
        <f>P19+K19</f>
        <v>158877.50774999999</v>
      </c>
      <c r="S19" s="45">
        <f t="shared" si="4"/>
        <v>159711.80775000001</v>
      </c>
      <c r="T19" s="45">
        <f t="shared" si="5"/>
        <v>17629.650000000001</v>
      </c>
      <c r="U19" s="155">
        <f>U18+V18+T19</f>
        <v>87895.65</v>
      </c>
      <c r="V19" s="45">
        <f t="shared" ref="V19:V52" si="13">IF(A19&lt;$H$5,SUMPRODUCT((U18+T19)*$I$4:$K$4,$I$11:$K$11),IF(A19&lt;$H$6,SUMPRODUCT((U18+T19)*$I$5:$K$5,$I$11:$K$11),IF(A19&lt;$H$7,SUMPRODUCT((U18+T19)*$I$6:$K$6,$I$11:$K$11),IF(A19&lt;$H$8,SUMPRODUCT((U18+T19)*$I$7:$K$7,$I$11:$K$11),IF(A19&lt;$H$9,SUMPRODUCT((U18+T19)*$I$8:$K$8,$I$11:$K$11),SUMPRODUCT((U18+T19)*$I$9:$K$9,$I$11:$K$11))))))</f>
        <v>8204.0149999999994</v>
      </c>
      <c r="W19" s="45">
        <f t="shared" si="6"/>
        <v>246773.15774999998</v>
      </c>
      <c r="Y19" s="8">
        <v>68</v>
      </c>
      <c r="Z19" s="160">
        <f t="shared" ref="Z19:Z52" si="14">AD18*(1+$Z$5)</f>
        <v>6477855.6907563675</v>
      </c>
      <c r="AA19" s="160">
        <f t="shared" ref="AA19:AA52" si="15">AA18*(1+$Z$6)</f>
        <v>219130.10140667352</v>
      </c>
      <c r="AB19" s="160">
        <f t="shared" si="7"/>
        <v>30000</v>
      </c>
      <c r="AC19" s="160">
        <f t="shared" ref="AC19:AC52" si="16">0.5%*AD18</f>
        <v>31445.901411438677</v>
      </c>
      <c r="AD19" s="160">
        <f t="shared" si="8"/>
        <v>6197279.6879382553</v>
      </c>
    </row>
    <row r="20" spans="1:30" x14ac:dyDescent="0.3">
      <c r="A20" s="5">
        <f t="shared" si="0"/>
        <v>33</v>
      </c>
      <c r="B20" s="116">
        <v>3</v>
      </c>
      <c r="C20" s="45">
        <f t="shared" si="9"/>
        <v>98345.430000000008</v>
      </c>
      <c r="D20" s="45">
        <f t="shared" si="1"/>
        <v>7867.6344000000008</v>
      </c>
      <c r="E20" s="45">
        <f>0.06*C20</f>
        <v>5900.7258000000002</v>
      </c>
      <c r="F20" s="45" t="str">
        <f>IF(ISEVEN(A20), "YES", "NO")</f>
        <v>NO</v>
      </c>
      <c r="G20" s="45">
        <f t="shared" si="10"/>
        <v>859.32900000000222</v>
      </c>
      <c r="H20" s="45">
        <f t="shared" ref="H20:H52" si="17">IF(F20="YES",IF(G20&gt;$G$15,$G$15,G20),0)</f>
        <v>0</v>
      </c>
      <c r="I20" s="45">
        <f t="shared" si="3"/>
        <v>7160.8286250000001</v>
      </c>
      <c r="J20" s="45">
        <f t="shared" ref="J20:J52" si="18">IF(A20&lt;$H$5,SUMPRODUCT((K19+I20)*$I$4:$K$4,$I$11:$K$11),IF(A20&lt;$H$6,SUMPRODUCT((K19+I20)*$I$5:$K$5,$I$11:$K$11),IF(A20&lt;$H$7,SUMPRODUCT((K19+I20)*$I$6:$K$6,$I$11:$K$11),IF(A20&lt;$H$8,SUMPRODUCT((K19+I20)*$I$7:$K$7,$I$11:$K$11),IF(A20&lt;$H$9,SUMPRODUCT((K19+I20)*$I$8:$K$8,$I$11:$K$11),SUMPRODUCT((K19+I20)*$I$9:$K$9,$I$11:$K$11))))))</f>
        <v>5988.4882375000007</v>
      </c>
      <c r="K20" s="45">
        <f t="shared" ref="K19:K52" si="19">I20+J20+K19-H20</f>
        <v>65873.370612500003</v>
      </c>
      <c r="L20" s="136">
        <f t="shared" si="11"/>
        <v>66791.100612499999</v>
      </c>
      <c r="M20" s="138">
        <f t="shared" ref="M20:M52" si="20">IF(A20&lt;$H$5,SUMPRODUCT((L19+I20)*$I$4:$K$4,$I$11:$K$11),IF(A20&lt;$H$6,SUMPRODUCT((L19+I20)*$I$5:$K$5,$I$11:$K$11),IF(A20&lt;$H$7,SUMPRODUCT((L19+I20)*$I$6:$K$6,$I$11:$K$11),IF(A20&lt;$H$8,SUMPRODUCT((L19+I20)*$I$7:$K$7,$I$11:$K$11),IF(A20&lt;$H$9,SUMPRODUCT((L19+I20)*$I$8:$K$8,$I$11:$K$11),SUMPRODUCT((L19+I20)*$I$9:$K$9,$I$11:$K$11))))))</f>
        <v>6071.9182375000009</v>
      </c>
      <c r="N20" s="45">
        <f>$B$9*C20</f>
        <v>14751.8145</v>
      </c>
      <c r="O20" s="125">
        <f>D20+E20</f>
        <v>13768.360200000001</v>
      </c>
      <c r="P20" s="45">
        <f t="shared" si="12"/>
        <v>131913.99562</v>
      </c>
      <c r="Q20" s="45">
        <f>IF(A20&lt;$H$5,SUMPRODUCT((P19+O20)*$I$4:$K$4,$I$11:$K$11),IF(A20&lt;$H$6,SUMPRODUCT((P19+O20)*$I$5:$K$5,$I$11:$K$11),IF(A20&lt;$H$7,SUMPRODUCT((P19+O20)*$I$6:$K$6,$I$11:$K$11),IF(A20&lt;$H$8,SUMPRODUCT((P19+O20)*$I$7:$K$7,$I$11:$K$11),IF(A20&lt;$H$9,SUMPRODUCT((P19+O20)*$I$8:$K$8,$I$11:$K$11),SUMPRODUCT((P19+O20)*$I$9:$K$9,$I$11:$K$11))))))</f>
        <v>11992.181420000001</v>
      </c>
      <c r="R20" s="45">
        <f>P20+K20</f>
        <v>197787.3662325</v>
      </c>
      <c r="S20" s="45">
        <f t="shared" si="4"/>
        <v>198705.09623249999</v>
      </c>
      <c r="T20" s="45">
        <f t="shared" si="5"/>
        <v>18224.6895</v>
      </c>
      <c r="U20" s="155">
        <f t="shared" ref="U20:U52" si="21">U19+V19+T20</f>
        <v>114324.35449999999</v>
      </c>
      <c r="V20" s="45">
        <f t="shared" si="13"/>
        <v>10612.033950000001</v>
      </c>
      <c r="W20" s="45">
        <f t="shared" si="6"/>
        <v>312111.72073249996</v>
      </c>
      <c r="Y20" s="8">
        <v>69</v>
      </c>
      <c r="Z20" s="160">
        <f t="shared" si="14"/>
        <v>6383198.0785764027</v>
      </c>
      <c r="AA20" s="160">
        <f t="shared" si="15"/>
        <v>227895.30546294048</v>
      </c>
      <c r="AB20" s="160">
        <f t="shared" si="7"/>
        <v>30000</v>
      </c>
      <c r="AC20" s="160">
        <f t="shared" si="16"/>
        <v>30986.398439691278</v>
      </c>
      <c r="AD20" s="160">
        <f t="shared" si="8"/>
        <v>6094316.3746737707</v>
      </c>
    </row>
    <row r="21" spans="1:30" x14ac:dyDescent="0.3">
      <c r="A21" s="5">
        <f t="shared" si="0"/>
        <v>34</v>
      </c>
      <c r="B21" s="116">
        <v>4</v>
      </c>
      <c r="C21" s="45">
        <f t="shared" si="9"/>
        <v>101295.79290000001</v>
      </c>
      <c r="D21" s="45">
        <f t="shared" si="1"/>
        <v>8103.6634320000012</v>
      </c>
      <c r="E21" s="45">
        <f>0.06*C21</f>
        <v>6077.7475740000009</v>
      </c>
      <c r="F21" s="45" t="str">
        <f>IF(ISEVEN(A21), "YES", "NO")</f>
        <v>YES</v>
      </c>
      <c r="G21" s="45">
        <f t="shared" si="10"/>
        <v>885.10887000000218</v>
      </c>
      <c r="H21" s="45">
        <f t="shared" si="17"/>
        <v>885.10887000000218</v>
      </c>
      <c r="I21" s="45">
        <f t="shared" si="3"/>
        <v>7445.1109837500007</v>
      </c>
      <c r="J21" s="45">
        <f t="shared" si="18"/>
        <v>7331.8481596250003</v>
      </c>
      <c r="K21" s="45">
        <f t="shared" si="19"/>
        <v>79765.220885875009</v>
      </c>
      <c r="L21" s="136">
        <f t="shared" si="11"/>
        <v>81659.832755874988</v>
      </c>
      <c r="M21" s="138">
        <f t="shared" si="20"/>
        <v>7423.6211596249996</v>
      </c>
      <c r="N21" s="45">
        <f>$B$9*C21</f>
        <v>15194.368935000002</v>
      </c>
      <c r="O21" s="125">
        <f>D21+E21</f>
        <v>14181.411006000002</v>
      </c>
      <c r="P21" s="45">
        <f t="shared" si="12"/>
        <v>160704.9472886</v>
      </c>
      <c r="Q21" s="45">
        <f>IF(A21&lt;$H$5,SUMPRODUCT((P20+O21)*$I$4:$K$4,$I$11:$K$11),IF(A21&lt;$H$6,SUMPRODUCT((P20+O21)*$I$5:$K$5,$I$11:$K$11),IF(A21&lt;$H$7,SUMPRODUCT((P20+O21)*$I$6:$K$6,$I$11:$K$11),IF(A21&lt;$H$8,SUMPRODUCT((P20+O21)*$I$7:$K$7,$I$11:$K$11),IF(A21&lt;$H$9,SUMPRODUCT((P20+O21)*$I$8:$K$8,$I$11:$K$11),SUMPRODUCT((P20+O21)*$I$9:$K$9,$I$11:$K$11))))))</f>
        <v>14609.540662600002</v>
      </c>
      <c r="R21" s="45">
        <f>P21+K21</f>
        <v>240470.16817447502</v>
      </c>
      <c r="S21" s="45">
        <f t="shared" si="4"/>
        <v>242364.78004447499</v>
      </c>
      <c r="T21" s="45">
        <f t="shared" si="5"/>
        <v>18840.887685000002</v>
      </c>
      <c r="U21" s="155">
        <f t="shared" si="21"/>
        <v>143777.27613499999</v>
      </c>
      <c r="V21" s="45">
        <f t="shared" si="13"/>
        <v>13316.524218499999</v>
      </c>
      <c r="W21" s="45">
        <f t="shared" si="6"/>
        <v>384247.44430947502</v>
      </c>
      <c r="Y21" s="8">
        <v>70</v>
      </c>
      <c r="Z21" s="160">
        <f t="shared" si="14"/>
        <v>6277145.8659139844</v>
      </c>
      <c r="AA21" s="160">
        <f t="shared" si="15"/>
        <v>237011.1176814581</v>
      </c>
      <c r="AB21" s="160">
        <f t="shared" si="7"/>
        <v>30000</v>
      </c>
      <c r="AC21" s="160">
        <f t="shared" si="16"/>
        <v>30471.581873368854</v>
      </c>
      <c r="AD21" s="160">
        <f t="shared" si="8"/>
        <v>5979663.1663591582</v>
      </c>
    </row>
    <row r="22" spans="1:30" x14ac:dyDescent="0.3">
      <c r="A22" s="5">
        <f t="shared" si="0"/>
        <v>35</v>
      </c>
      <c r="B22" s="116">
        <v>5</v>
      </c>
      <c r="C22" s="45">
        <f t="shared" si="9"/>
        <v>104334.66668700002</v>
      </c>
      <c r="D22" s="45">
        <f t="shared" si="1"/>
        <v>8346.7733349600021</v>
      </c>
      <c r="E22" s="45">
        <f>0.06*C22</f>
        <v>6260.0800012200007</v>
      </c>
      <c r="F22" s="45" t="str">
        <f>IF(ISEVEN(A22), "YES", "NO")</f>
        <v>NO</v>
      </c>
      <c r="G22" s="45">
        <f t="shared" si="10"/>
        <v>911.66213610000125</v>
      </c>
      <c r="H22" s="45">
        <f t="shared" si="17"/>
        <v>0</v>
      </c>
      <c r="I22" s="45">
        <f t="shared" si="3"/>
        <v>7741.3946882625005</v>
      </c>
      <c r="J22" s="45">
        <f t="shared" si="18"/>
        <v>8750.6615574137522</v>
      </c>
      <c r="K22" s="45">
        <f t="shared" si="19"/>
        <v>96257.277131551265</v>
      </c>
      <c r="L22" s="136">
        <f t="shared" si="11"/>
        <v>98341.350188551238</v>
      </c>
      <c r="M22" s="138">
        <f t="shared" si="20"/>
        <v>8940.1227444137494</v>
      </c>
      <c r="N22" s="45">
        <f>$B$9*C22</f>
        <v>15650.200003050002</v>
      </c>
      <c r="O22" s="125">
        <f>D22+E22</f>
        <v>14606.853336180004</v>
      </c>
      <c r="P22" s="45">
        <f t="shared" si="12"/>
        <v>192842.98068725801</v>
      </c>
      <c r="Q22" s="45">
        <f>IF(A22&lt;$H$5,SUMPRODUCT((P21+O22)*$I$4:$K$4,$I$11:$K$11),IF(A22&lt;$H$6,SUMPRODUCT((P21+O22)*$I$5:$K$5,$I$11:$K$11),IF(A22&lt;$H$7,SUMPRODUCT((P21+O22)*$I$6:$K$6,$I$11:$K$11),IF(A22&lt;$H$8,SUMPRODUCT((P21+O22)*$I$7:$K$7,$I$11:$K$11),IF(A22&lt;$H$9,SUMPRODUCT((P21+O22)*$I$8:$K$8,$I$11:$K$11),SUMPRODUCT((P21+O22)*$I$9:$K$9,$I$11:$K$11))))))</f>
        <v>17531.180062478001</v>
      </c>
      <c r="R22" s="45">
        <f>P22+K22</f>
        <v>289100.25781880924</v>
      </c>
      <c r="S22" s="45">
        <f t="shared" si="4"/>
        <v>291184.33087580925</v>
      </c>
      <c r="T22" s="45">
        <f t="shared" si="5"/>
        <v>19479.044690550003</v>
      </c>
      <c r="U22" s="155">
        <f t="shared" si="21"/>
        <v>176572.84504405002</v>
      </c>
      <c r="V22" s="45">
        <f t="shared" si="13"/>
        <v>16325.632082555001</v>
      </c>
      <c r="W22" s="45">
        <f t="shared" si="6"/>
        <v>465673.10286285926</v>
      </c>
      <c r="Y22" s="8">
        <v>71</v>
      </c>
      <c r="Z22" s="160">
        <f t="shared" si="14"/>
        <v>6159053.061349933</v>
      </c>
      <c r="AA22" s="160">
        <f t="shared" si="15"/>
        <v>246491.56238871644</v>
      </c>
      <c r="AB22" s="160">
        <f t="shared" si="7"/>
        <v>30000</v>
      </c>
      <c r="AC22" s="160">
        <f t="shared" si="16"/>
        <v>29898.315831795793</v>
      </c>
      <c r="AD22" s="160">
        <f t="shared" si="8"/>
        <v>5852663.1831294214</v>
      </c>
    </row>
    <row r="23" spans="1:30" x14ac:dyDescent="0.3">
      <c r="A23" s="5">
        <f t="shared" si="0"/>
        <v>36</v>
      </c>
      <c r="B23" s="116">
        <v>6</v>
      </c>
      <c r="C23" s="45">
        <f t="shared" si="9"/>
        <v>107464.70668761003</v>
      </c>
      <c r="D23" s="45">
        <f t="shared" si="1"/>
        <v>8597.1765350088026</v>
      </c>
      <c r="E23" s="45">
        <f>0.06*C23</f>
        <v>6447.882401256601</v>
      </c>
      <c r="F23" s="45" t="str">
        <f>IF(ISEVEN(A23), "YES", "NO")</f>
        <v>YES</v>
      </c>
      <c r="G23" s="45">
        <f t="shared" si="10"/>
        <v>939.0120001830029</v>
      </c>
      <c r="H23" s="45">
        <f t="shared" si="17"/>
        <v>939.0120001830029</v>
      </c>
      <c r="I23" s="45">
        <f t="shared" si="3"/>
        <v>8050.2134226603757</v>
      </c>
      <c r="J23" s="45">
        <f t="shared" si="18"/>
        <v>10430.749055421165</v>
      </c>
      <c r="K23" s="45">
        <f t="shared" si="19"/>
        <v>113799.22760944981</v>
      </c>
      <c r="L23" s="136">
        <f t="shared" si="11"/>
        <v>117030.71997233278</v>
      </c>
      <c r="M23" s="138">
        <f t="shared" si="20"/>
        <v>10639.156361121162</v>
      </c>
      <c r="N23" s="45">
        <f>$B$9*C23</f>
        <v>16119.706003141504</v>
      </c>
      <c r="O23" s="125">
        <f>D23+E23</f>
        <v>15045.058936265403</v>
      </c>
      <c r="P23" s="45">
        <f t="shared" si="12"/>
        <v>228676.84358587576</v>
      </c>
      <c r="Q23" s="45">
        <f>IF(A23&lt;$H$5,SUMPRODUCT((P22+O23)*$I$4:$K$4,$I$11:$K$11),IF(A23&lt;$H$6,SUMPRODUCT((P22+O23)*$I$5:$K$5,$I$11:$K$11),IF(A23&lt;$H$7,SUMPRODUCT((P22+O23)*$I$6:$K$6,$I$11:$K$11),IF(A23&lt;$H$8,SUMPRODUCT((P22+O23)*$I$7:$K$7,$I$11:$K$11),IF(A23&lt;$H$9,SUMPRODUCT((P22+O23)*$I$8:$K$8,$I$11:$K$11),SUMPRODUCT((P22+O23)*$I$9:$K$9,$I$11:$K$11))))))</f>
        <v>20788.803962352344</v>
      </c>
      <c r="R23" s="45">
        <f>P23+K23</f>
        <v>342476.07119532558</v>
      </c>
      <c r="S23" s="45">
        <f t="shared" si="4"/>
        <v>345707.56355820852</v>
      </c>
      <c r="T23" s="45">
        <f t="shared" si="5"/>
        <v>20139.992925016504</v>
      </c>
      <c r="U23" s="155">
        <f t="shared" si="21"/>
        <v>213038.47005162152</v>
      </c>
      <c r="V23" s="45">
        <f t="shared" si="13"/>
        <v>19671.283796906653</v>
      </c>
      <c r="W23" s="45">
        <f t="shared" si="6"/>
        <v>555514.54124694713</v>
      </c>
      <c r="Y23" s="8">
        <v>72</v>
      </c>
      <c r="Z23" s="160">
        <f t="shared" si="14"/>
        <v>6028243.0786233041</v>
      </c>
      <c r="AA23" s="160">
        <f t="shared" si="15"/>
        <v>256351.2248842651</v>
      </c>
      <c r="AB23" s="160">
        <f t="shared" si="7"/>
        <v>30000</v>
      </c>
      <c r="AC23" s="160">
        <f t="shared" si="16"/>
        <v>29263.315915647108</v>
      </c>
      <c r="AD23" s="160">
        <f t="shared" si="8"/>
        <v>5712628.5378233921</v>
      </c>
    </row>
    <row r="24" spans="1:30" x14ac:dyDescent="0.3">
      <c r="A24" s="5">
        <f t="shared" si="0"/>
        <v>37</v>
      </c>
      <c r="B24" s="116">
        <v>7</v>
      </c>
      <c r="C24" s="45">
        <f t="shared" si="9"/>
        <v>110688.64788823834</v>
      </c>
      <c r="D24" s="45">
        <f t="shared" si="1"/>
        <v>8855.0918310590678</v>
      </c>
      <c r="E24" s="45">
        <f>0.06*C24</f>
        <v>6641.3188732942999</v>
      </c>
      <c r="F24" s="45" t="str">
        <f>IF(ISEVEN(A24), "YES", "NO")</f>
        <v>NO</v>
      </c>
      <c r="G24" s="45">
        <f t="shared" si="10"/>
        <v>967.18236018849268</v>
      </c>
      <c r="H24" s="45">
        <f t="shared" si="17"/>
        <v>0</v>
      </c>
      <c r="I24" s="45">
        <f t="shared" si="3"/>
        <v>8372.1255637776885</v>
      </c>
      <c r="J24" s="45">
        <f t="shared" si="18"/>
        <v>12217.135317322751</v>
      </c>
      <c r="K24" s="45">
        <f t="shared" si="19"/>
        <v>134388.48849055025</v>
      </c>
      <c r="L24" s="136">
        <f t="shared" si="11"/>
        <v>137943.13008972153</v>
      </c>
      <c r="M24" s="138">
        <f t="shared" si="20"/>
        <v>12540.284553611047</v>
      </c>
      <c r="N24" s="45">
        <f>$B$9*C24</f>
        <v>16603.297183235751</v>
      </c>
      <c r="O24" s="125">
        <f>D24+E24</f>
        <v>15496.410704353368</v>
      </c>
      <c r="P24" s="45">
        <f t="shared" si="12"/>
        <v>268590.57971925201</v>
      </c>
      <c r="Q24" s="45">
        <f>IF(A24&lt;$H$5,SUMPRODUCT((P23+O24)*$I$4:$K$4,$I$11:$K$11),IF(A24&lt;$H$6,SUMPRODUCT((P23+O24)*$I$5:$K$5,$I$11:$K$11),IF(A24&lt;$H$7,SUMPRODUCT((P23+O24)*$I$6:$K$6,$I$11:$K$11),IF(A24&lt;$H$8,SUMPRODUCT((P23+O24)*$I$7:$K$7,$I$11:$K$11),IF(A24&lt;$H$9,SUMPRODUCT((P23+O24)*$I$8:$K$8,$I$11:$K$11),SUMPRODUCT((P23+O24)*$I$9:$K$9,$I$11:$K$11))))))</f>
        <v>24417.325429022912</v>
      </c>
      <c r="R24" s="45">
        <f>P24+K24</f>
        <v>402979.06820980227</v>
      </c>
      <c r="S24" s="45">
        <f t="shared" si="4"/>
        <v>406533.70980897354</v>
      </c>
      <c r="T24" s="45">
        <f t="shared" si="5"/>
        <v>20824.598451204503</v>
      </c>
      <c r="U24" s="155">
        <f t="shared" si="21"/>
        <v>253534.35229973268</v>
      </c>
      <c r="V24" s="45">
        <f t="shared" si="13"/>
        <v>23386.306850282606</v>
      </c>
      <c r="W24" s="45">
        <f t="shared" si="6"/>
        <v>656513.42050953489</v>
      </c>
      <c r="Y24" s="8">
        <v>73</v>
      </c>
      <c r="Z24" s="160">
        <f t="shared" si="14"/>
        <v>5884007.3939580936</v>
      </c>
      <c r="AA24" s="160">
        <f t="shared" si="15"/>
        <v>266605.27387963573</v>
      </c>
      <c r="AB24" s="160">
        <f t="shared" si="7"/>
        <v>30000</v>
      </c>
      <c r="AC24" s="160">
        <f t="shared" si="16"/>
        <v>28563.142689116961</v>
      </c>
      <c r="AD24" s="160">
        <f t="shared" si="8"/>
        <v>5558838.9773893403</v>
      </c>
    </row>
    <row r="25" spans="1:30" x14ac:dyDescent="0.3">
      <c r="A25" s="5">
        <f t="shared" si="0"/>
        <v>38</v>
      </c>
      <c r="B25" s="116">
        <v>8</v>
      </c>
      <c r="C25" s="45">
        <f t="shared" si="9"/>
        <v>114009.30732488549</v>
      </c>
      <c r="D25" s="45">
        <f t="shared" si="1"/>
        <v>9120.7445859908403</v>
      </c>
      <c r="E25" s="45">
        <f>0.06*C25</f>
        <v>6840.5584394931293</v>
      </c>
      <c r="F25" s="45" t="str">
        <f>IF(ISEVEN(A25), "YES", "NO")</f>
        <v>YES</v>
      </c>
      <c r="G25" s="45">
        <f t="shared" si="10"/>
        <v>996.19783099414633</v>
      </c>
      <c r="H25" s="45">
        <f t="shared" si="17"/>
        <v>996.19783099414633</v>
      </c>
      <c r="I25" s="45">
        <f t="shared" si="3"/>
        <v>8707.7153560503939</v>
      </c>
      <c r="J25" s="45">
        <f t="shared" si="18"/>
        <v>14309.620384660067</v>
      </c>
      <c r="K25" s="45">
        <f t="shared" si="19"/>
        <v>156409.62640026657</v>
      </c>
      <c r="L25" s="136">
        <f t="shared" si="11"/>
        <v>161315.9299903491</v>
      </c>
      <c r="M25" s="138">
        <f t="shared" si="20"/>
        <v>14665.084544577194</v>
      </c>
      <c r="N25" s="45">
        <f>$B$9*C25</f>
        <v>17101.396098732825</v>
      </c>
      <c r="O25" s="125">
        <f>D25+E25</f>
        <v>15961.303025483969</v>
      </c>
      <c r="P25" s="45">
        <f t="shared" si="12"/>
        <v>313007.07101920957</v>
      </c>
      <c r="Q25" s="45">
        <f>IF(A25&lt;$H$5,SUMPRODUCT((P24+O25)*$I$4:$K$4,$I$11:$K$11),IF(A25&lt;$H$6,SUMPRODUCT((P24+O25)*$I$5:$K$5,$I$11:$K$11),IF(A25&lt;$H$7,SUMPRODUCT((P24+O25)*$I$6:$K$6,$I$11:$K$11),IF(A25&lt;$H$8,SUMPRODUCT((P24+O25)*$I$7:$K$7,$I$11:$K$11),IF(A25&lt;$H$9,SUMPRODUCT((P24+O25)*$I$8:$K$8,$I$11:$K$11),SUMPRODUCT((P24+O25)*$I$9:$K$9,$I$11:$K$11))))))</f>
        <v>28455.188274473599</v>
      </c>
      <c r="R25" s="45">
        <f>P25+K25</f>
        <v>469416.69741947611</v>
      </c>
      <c r="S25" s="45">
        <f t="shared" si="4"/>
        <v>474323.00100955868</v>
      </c>
      <c r="T25" s="45">
        <f t="shared" si="5"/>
        <v>21533.762430100011</v>
      </c>
      <c r="U25" s="155">
        <f t="shared" si="21"/>
        <v>298454.42158011527</v>
      </c>
      <c r="V25" s="45">
        <f t="shared" si="13"/>
        <v>27506.811472983271</v>
      </c>
      <c r="W25" s="45">
        <f t="shared" si="6"/>
        <v>767871.11899959133</v>
      </c>
      <c r="Y25" s="8">
        <v>74</v>
      </c>
      <c r="Z25" s="160">
        <f t="shared" si="14"/>
        <v>5725604.1467110207</v>
      </c>
      <c r="AA25" s="160">
        <f t="shared" si="15"/>
        <v>277269.4848348212</v>
      </c>
      <c r="AB25" s="160">
        <f t="shared" si="7"/>
        <v>30000</v>
      </c>
      <c r="AC25" s="160">
        <f t="shared" si="16"/>
        <v>27794.194886946701</v>
      </c>
      <c r="AD25" s="160">
        <f t="shared" si="8"/>
        <v>5390540.4669892527</v>
      </c>
    </row>
    <row r="26" spans="1:30" x14ac:dyDescent="0.3">
      <c r="A26" s="5">
        <f t="shared" si="0"/>
        <v>39</v>
      </c>
      <c r="B26" s="116">
        <v>9</v>
      </c>
      <c r="C26" s="45">
        <f t="shared" si="9"/>
        <v>117429.58654463205</v>
      </c>
      <c r="D26" s="45">
        <f t="shared" si="1"/>
        <v>9394.3669235705638</v>
      </c>
      <c r="E26" s="45">
        <f>0.06*C26</f>
        <v>7045.7751926779229</v>
      </c>
      <c r="F26" s="45" t="str">
        <f>IF(ISEVEN(A26), "YES", "NO")</f>
        <v>NO</v>
      </c>
      <c r="G26" s="45">
        <f t="shared" si="10"/>
        <v>1026.083765923968</v>
      </c>
      <c r="H26" s="45">
        <f t="shared" si="17"/>
        <v>0</v>
      </c>
      <c r="I26" s="45">
        <f t="shared" si="3"/>
        <v>9057.5941433592488</v>
      </c>
      <c r="J26" s="45">
        <f t="shared" si="18"/>
        <v>16546.722054362584</v>
      </c>
      <c r="K26" s="45">
        <f t="shared" si="19"/>
        <v>182013.94259798841</v>
      </c>
      <c r="L26" s="136">
        <f t="shared" si="11"/>
        <v>187410.87654707918</v>
      </c>
      <c r="M26" s="138">
        <f t="shared" si="20"/>
        <v>17037.352413370838</v>
      </c>
      <c r="N26" s="45">
        <f>$B$9*C26</f>
        <v>17614.437981694806</v>
      </c>
      <c r="O26" s="125">
        <f>D26+E26</f>
        <v>16440.142116248488</v>
      </c>
      <c r="P26" s="45">
        <f t="shared" si="12"/>
        <v>362391.93444900389</v>
      </c>
      <c r="Q26" s="45">
        <f>IF(A26&lt;$H$5,SUMPRODUCT((P25+O26)*$I$4:$K$4,$I$11:$K$11),IF(A26&lt;$H$6,SUMPRODUCT((P25+O26)*$I$5:$K$5,$I$11:$K$11),IF(A26&lt;$H$7,SUMPRODUCT((P25+O26)*$I$6:$K$6,$I$11:$K$11),IF(A26&lt;$H$8,SUMPRODUCT((P25+O26)*$I$7:$K$7,$I$11:$K$11),IF(A26&lt;$H$9,SUMPRODUCT((P25+O26)*$I$8:$K$8,$I$11:$K$11),SUMPRODUCT((P25+O26)*$I$9:$K$9,$I$11:$K$11))))))</f>
        <v>32944.721313545808</v>
      </c>
      <c r="R26" s="45">
        <f>P26+K26</f>
        <v>544405.8770469923</v>
      </c>
      <c r="S26" s="45">
        <f t="shared" si="4"/>
        <v>549802.81099608308</v>
      </c>
      <c r="T26" s="45">
        <f t="shared" si="5"/>
        <v>22268.422629630353</v>
      </c>
      <c r="U26" s="155">
        <f t="shared" si="21"/>
        <v>348229.65568272892</v>
      </c>
      <c r="V26" s="45">
        <f t="shared" si="13"/>
        <v>32072.284420974567</v>
      </c>
      <c r="W26" s="45">
        <f t="shared" si="6"/>
        <v>892635.53272972116</v>
      </c>
      <c r="Y26" s="8">
        <v>75</v>
      </c>
      <c r="Z26" s="160">
        <f t="shared" si="14"/>
        <v>5552256.6809989307</v>
      </c>
      <c r="AA26" s="160">
        <f t="shared" si="15"/>
        <v>288360.26422821404</v>
      </c>
      <c r="AB26" s="160">
        <f t="shared" si="7"/>
        <v>30000</v>
      </c>
      <c r="AC26" s="160">
        <f t="shared" si="16"/>
        <v>26952.702334946265</v>
      </c>
      <c r="AD26" s="160">
        <f t="shared" si="8"/>
        <v>5206943.7144357711</v>
      </c>
    </row>
    <row r="27" spans="1:30" x14ac:dyDescent="0.3">
      <c r="A27" s="5">
        <f t="shared" si="0"/>
        <v>40</v>
      </c>
      <c r="B27" s="116">
        <v>10</v>
      </c>
      <c r="C27" s="45">
        <f t="shared" si="9"/>
        <v>120952.47414097101</v>
      </c>
      <c r="D27" s="45">
        <f t="shared" si="1"/>
        <v>9676.1979312776803</v>
      </c>
      <c r="E27" s="45">
        <f>0.06*C27</f>
        <v>7257.1484484582606</v>
      </c>
      <c r="F27" s="45" t="str">
        <f>IF(ISEVEN(A27), "YES", "NO")</f>
        <v>YES</v>
      </c>
      <c r="G27" s="45">
        <f t="shared" si="10"/>
        <v>1056.8662789016873</v>
      </c>
      <c r="H27" s="45">
        <f t="shared" si="17"/>
        <v>1056.8662789016873</v>
      </c>
      <c r="I27" s="45">
        <f t="shared" si="3"/>
        <v>9422.4016606187361</v>
      </c>
      <c r="J27" s="45">
        <f t="shared" si="18"/>
        <v>19143.634425860713</v>
      </c>
      <c r="K27" s="45">
        <f t="shared" si="19"/>
        <v>209523.11240556615</v>
      </c>
      <c r="L27" s="136">
        <f t="shared" si="11"/>
        <v>216516.60602846771</v>
      </c>
      <c r="M27" s="138">
        <f t="shared" si="20"/>
        <v>19683.327820769791</v>
      </c>
      <c r="N27" s="45">
        <f>$B$9*C27</f>
        <v>18142.87112114565</v>
      </c>
      <c r="O27" s="125">
        <f>D27+E27</f>
        <v>16933.34637973594</v>
      </c>
      <c r="P27" s="45">
        <f t="shared" si="12"/>
        <v>417257.80891161377</v>
      </c>
      <c r="Q27" s="45">
        <f>IF(A27&lt;$H$5,SUMPRODUCT((P26+O27)*$I$4:$K$4,$I$11:$K$11),IF(A27&lt;$H$6,SUMPRODUCT((P26+O27)*$I$5:$K$5,$I$11:$K$11),IF(A27&lt;$H$7,SUMPRODUCT((P26+O27)*$I$6:$K$6,$I$11:$K$11),IF(A27&lt;$H$8,SUMPRODUCT((P26+O27)*$I$7:$K$7,$I$11:$K$11),IF(A27&lt;$H$9,SUMPRODUCT((P26+O27)*$I$8:$K$8,$I$11:$K$11),SUMPRODUCT((P26+O27)*$I$9:$K$9,$I$11:$K$11))))))</f>
        <v>37932.528082873985</v>
      </c>
      <c r="R27" s="45">
        <f>P27+K27</f>
        <v>626780.92131717992</v>
      </c>
      <c r="S27" s="45">
        <f t="shared" si="4"/>
        <v>633774.41494008154</v>
      </c>
      <c r="T27" s="45">
        <f t="shared" si="5"/>
        <v>23029.555001477973</v>
      </c>
      <c r="U27" s="155">
        <f t="shared" si="21"/>
        <v>403331.49510518147</v>
      </c>
      <c r="V27" s="45">
        <f t="shared" si="13"/>
        <v>37125.921068420692</v>
      </c>
      <c r="W27" s="45">
        <f t="shared" si="6"/>
        <v>1030112.4164223614</v>
      </c>
      <c r="Y27" s="8">
        <v>76</v>
      </c>
      <c r="Z27" s="160">
        <f t="shared" si="14"/>
        <v>5363152.0258688442</v>
      </c>
      <c r="AA27" s="160">
        <f t="shared" si="15"/>
        <v>299894.67479734262</v>
      </c>
      <c r="AB27" s="160">
        <f t="shared" si="7"/>
        <v>30000</v>
      </c>
      <c r="AC27" s="160">
        <f t="shared" si="16"/>
        <v>26034.718572178856</v>
      </c>
      <c r="AD27" s="160">
        <f t="shared" si="8"/>
        <v>5007222.6324993223</v>
      </c>
    </row>
    <row r="28" spans="1:30" x14ac:dyDescent="0.3">
      <c r="A28" s="5">
        <f t="shared" si="0"/>
        <v>41</v>
      </c>
      <c r="B28" s="116">
        <v>11</v>
      </c>
      <c r="C28" s="45">
        <f t="shared" si="9"/>
        <v>124581.04836520014</v>
      </c>
      <c r="D28" s="45">
        <f t="shared" si="1"/>
        <v>9966.483869216012</v>
      </c>
      <c r="E28" s="45">
        <f>0.06*C28</f>
        <v>7474.8629019120081</v>
      </c>
      <c r="F28" s="45" t="str">
        <f>IF(ISEVEN(A28), "YES", "NO")</f>
        <v>NO</v>
      </c>
      <c r="G28" s="45">
        <f t="shared" si="10"/>
        <v>1088.5722672687391</v>
      </c>
      <c r="H28" s="45">
        <f t="shared" si="17"/>
        <v>0</v>
      </c>
      <c r="I28" s="45">
        <f t="shared" si="3"/>
        <v>9802.807388043946</v>
      </c>
      <c r="J28" s="45">
        <f t="shared" si="18"/>
        <v>19300.680941837687</v>
      </c>
      <c r="K28" s="45">
        <f t="shared" si="19"/>
        <v>238626.60073544778</v>
      </c>
      <c r="L28" s="136">
        <f t="shared" si="11"/>
        <v>246235.52179716466</v>
      </c>
      <c r="M28" s="138">
        <f t="shared" si="20"/>
        <v>19916.10838065303</v>
      </c>
      <c r="N28" s="45">
        <f>$B$9*C28</f>
        <v>18687.157254780021</v>
      </c>
      <c r="O28" s="125">
        <f>D28+E28</f>
        <v>17441.346771128021</v>
      </c>
      <c r="P28" s="45">
        <f t="shared" si="12"/>
        <v>472952.68138282304</v>
      </c>
      <c r="Q28" s="45">
        <f>IF(A28&lt;$H$5,SUMPRODUCT((P27+O28)*$I$4:$K$4,$I$11:$K$11),IF(A28&lt;$H$6,SUMPRODUCT((P27+O28)*$I$5:$K$5,$I$11:$K$11),IF(A28&lt;$H$7,SUMPRODUCT((P27+O28)*$I$6:$K$6,$I$11:$K$11),IF(A28&lt;$H$8,SUMPRODUCT((P27+O28)*$I$7:$K$7,$I$11:$K$11),IF(A28&lt;$H$9,SUMPRODUCT((P27+O28)*$I$8:$K$8,$I$11:$K$11),SUMPRODUCT((P27+O28)*$I$9:$K$9,$I$11:$K$11))))))</f>
        <v>38253.525700081278</v>
      </c>
      <c r="R28" s="45">
        <f>P28+K28</f>
        <v>711579.28211827087</v>
      </c>
      <c r="S28" s="45">
        <f t="shared" si="4"/>
        <v>719188.20317998773</v>
      </c>
      <c r="T28" s="45">
        <f t="shared" si="5"/>
        <v>23818.175329128961</v>
      </c>
      <c r="U28" s="155">
        <f t="shared" si="21"/>
        <v>464275.59150273114</v>
      </c>
      <c r="V28" s="45">
        <f t="shared" si="13"/>
        <v>37589.170998219328</v>
      </c>
      <c r="W28" s="45">
        <f t="shared" si="6"/>
        <v>1175854.8736210021</v>
      </c>
      <c r="Y28" s="8">
        <v>77</v>
      </c>
      <c r="Z28" s="160">
        <f t="shared" si="14"/>
        <v>5157439.3114743019</v>
      </c>
      <c r="AA28" s="160">
        <f t="shared" si="15"/>
        <v>311890.46178923635</v>
      </c>
      <c r="AB28" s="160">
        <f t="shared" si="7"/>
        <v>30000</v>
      </c>
      <c r="AC28" s="160">
        <f t="shared" si="16"/>
        <v>25036.113162496611</v>
      </c>
      <c r="AD28" s="160">
        <f t="shared" si="8"/>
        <v>4790512.7365225684</v>
      </c>
    </row>
    <row r="29" spans="1:30" x14ac:dyDescent="0.3">
      <c r="A29" s="5">
        <f t="shared" si="0"/>
        <v>42</v>
      </c>
      <c r="B29" s="116">
        <v>12</v>
      </c>
      <c r="C29" s="45">
        <f t="shared" si="9"/>
        <v>128318.47981615615</v>
      </c>
      <c r="D29" s="45">
        <f t="shared" si="1"/>
        <v>10265.478385292492</v>
      </c>
      <c r="E29" s="45">
        <f>0.06*C29</f>
        <v>7699.108788969369</v>
      </c>
      <c r="F29" s="45" t="str">
        <f>IF(ISEVEN(A29), "YES", "NO")</f>
        <v>YES</v>
      </c>
      <c r="G29" s="45">
        <f t="shared" si="10"/>
        <v>1121.2294352868018</v>
      </c>
      <c r="H29" s="45">
        <f t="shared" si="17"/>
        <v>1121.2294352868018</v>
      </c>
      <c r="I29" s="45">
        <f t="shared" si="3"/>
        <v>10199.511971172244</v>
      </c>
      <c r="J29" s="45">
        <f t="shared" si="18"/>
        <v>21896.697918182566</v>
      </c>
      <c r="K29" s="45">
        <f t="shared" si="19"/>
        <v>269601.58118951583</v>
      </c>
      <c r="L29" s="136">
        <f t="shared" si="11"/>
        <v>279001.31673995056</v>
      </c>
      <c r="M29" s="138">
        <f t="shared" si="20"/>
        <v>22566.282971613648</v>
      </c>
      <c r="N29" s="45">
        <f>$B$9*C29</f>
        <v>19247.771972423423</v>
      </c>
      <c r="O29" s="125">
        <f>D29+E29</f>
        <v>17964.587174261862</v>
      </c>
      <c r="P29" s="45">
        <f t="shared" si="12"/>
        <v>534117.98819010833</v>
      </c>
      <c r="Q29" s="45">
        <f>IF(A29&lt;$H$5,SUMPRODUCT((P28+O29)*$I$4:$K$4,$I$11:$K$11),IF(A29&lt;$H$6,SUMPRODUCT((P28+O29)*$I$5:$K$5,$I$11:$K$11),IF(A29&lt;$H$7,SUMPRODUCT((P28+O29)*$I$6:$K$6,$I$11:$K$11),IF(A29&lt;$H$8,SUMPRODUCT((P28+O29)*$I$7:$K$7,$I$11:$K$11),IF(A29&lt;$H$9,SUMPRODUCT((P28+O29)*$I$8:$K$8,$I$11:$K$11),SUMPRODUCT((P28+O29)*$I$9:$K$9,$I$11:$K$11))))))</f>
        <v>43200.719633023473</v>
      </c>
      <c r="R29" s="45">
        <f>P29+K29</f>
        <v>803719.56937962421</v>
      </c>
      <c r="S29" s="45">
        <f t="shared" si="4"/>
        <v>813119.30493005889</v>
      </c>
      <c r="T29" s="45">
        <f t="shared" si="5"/>
        <v>24635.340950489812</v>
      </c>
      <c r="U29" s="155">
        <f t="shared" si="21"/>
        <v>526500.10345144034</v>
      </c>
      <c r="V29" s="45">
        <f t="shared" si="13"/>
        <v>43024.162055883447</v>
      </c>
      <c r="W29" s="45">
        <f t="shared" si="6"/>
        <v>1330219.6728310646</v>
      </c>
      <c r="Y29" s="8">
        <v>78</v>
      </c>
      <c r="Z29" s="160">
        <f t="shared" si="14"/>
        <v>4934228.1186182452</v>
      </c>
      <c r="AA29" s="160">
        <f t="shared" si="15"/>
        <v>324366.08026080579</v>
      </c>
      <c r="AB29" s="160">
        <f t="shared" si="7"/>
        <v>30000</v>
      </c>
      <c r="AC29" s="160">
        <f t="shared" si="16"/>
        <v>23952.563682612843</v>
      </c>
      <c r="AD29" s="160">
        <f t="shared" si="8"/>
        <v>4555909.4746748265</v>
      </c>
    </row>
    <row r="30" spans="1:30" x14ac:dyDescent="0.3">
      <c r="A30" s="5">
        <f t="shared" si="0"/>
        <v>43</v>
      </c>
      <c r="B30" s="116">
        <v>13</v>
      </c>
      <c r="C30" s="45">
        <f t="shared" si="9"/>
        <v>132168.03421064085</v>
      </c>
      <c r="D30" s="45">
        <f t="shared" si="1"/>
        <v>10573.442736851268</v>
      </c>
      <c r="E30" s="45">
        <f>0.06*C30</f>
        <v>7930.0820526384505</v>
      </c>
      <c r="F30" s="45" t="str">
        <f>IF(ISEVEN(A30), "YES", "NO")</f>
        <v>NO</v>
      </c>
      <c r="G30" s="45">
        <f t="shared" si="10"/>
        <v>1154.8663183454103</v>
      </c>
      <c r="H30" s="45">
        <f t="shared" si="17"/>
        <v>0</v>
      </c>
      <c r="I30" s="45">
        <f t="shared" si="3"/>
        <v>10613.24870986874</v>
      </c>
      <c r="J30" s="45">
        <f t="shared" si="18"/>
        <v>24658.905031145849</v>
      </c>
      <c r="K30" s="45">
        <f t="shared" si="19"/>
        <v>304873.73493053042</v>
      </c>
      <c r="L30" s="136">
        <f t="shared" si="11"/>
        <v>315100.64720940345</v>
      </c>
      <c r="M30" s="138">
        <f t="shared" si="20"/>
        <v>25486.081759584107</v>
      </c>
      <c r="N30" s="45">
        <f>$B$9*C30</f>
        <v>19825.205131596125</v>
      </c>
      <c r="O30" s="125">
        <f>D30+E30</f>
        <v>18503.524789489718</v>
      </c>
      <c r="P30" s="45">
        <f t="shared" si="12"/>
        <v>601252.20612180268</v>
      </c>
      <c r="Q30" s="45">
        <f>IF(A30&lt;$H$5,SUMPRODUCT((P29+O30)*$I$4:$K$4,$I$11:$K$11),IF(A30&lt;$H$6,SUMPRODUCT((P29+O30)*$I$5:$K$5,$I$11:$K$11),IF(A30&lt;$H$7,SUMPRODUCT((P29+O30)*$I$6:$K$6,$I$11:$K$11),IF(A30&lt;$H$8,SUMPRODUCT((P29+O30)*$I$7:$K$7,$I$11:$K$11),IF(A30&lt;$H$9,SUMPRODUCT((P29+O30)*$I$8:$K$8,$I$11:$K$11),SUMPRODUCT((P29+O30)*$I$9:$K$9,$I$11:$K$11))))))</f>
        <v>48630.693142204633</v>
      </c>
      <c r="R30" s="45">
        <f>P30+K30</f>
        <v>906125.9410523331</v>
      </c>
      <c r="S30" s="45">
        <f t="shared" si="4"/>
        <v>916352.85333120613</v>
      </c>
      <c r="T30" s="45">
        <f t="shared" si="5"/>
        <v>25482.152558565835</v>
      </c>
      <c r="U30" s="155">
        <f t="shared" si="21"/>
        <v>595006.41806588962</v>
      </c>
      <c r="V30" s="45">
        <f t="shared" si="13"/>
        <v>48574.438528880557</v>
      </c>
      <c r="W30" s="45">
        <f t="shared" si="6"/>
        <v>1501132.3591182227</v>
      </c>
      <c r="Y30" s="8">
        <v>79</v>
      </c>
      <c r="Z30" s="160">
        <f t="shared" si="14"/>
        <v>4692586.7589150714</v>
      </c>
      <c r="AA30" s="160">
        <f t="shared" si="15"/>
        <v>337340.72347123805</v>
      </c>
      <c r="AB30" s="160">
        <f t="shared" si="7"/>
        <v>30000</v>
      </c>
      <c r="AC30" s="160">
        <f t="shared" si="16"/>
        <v>22779.547373374135</v>
      </c>
      <c r="AD30" s="160">
        <f t="shared" si="8"/>
        <v>4302466.4880704591</v>
      </c>
    </row>
    <row r="31" spans="1:30" x14ac:dyDescent="0.3">
      <c r="A31" s="5">
        <f t="shared" si="0"/>
        <v>44</v>
      </c>
      <c r="B31" s="116">
        <v>14</v>
      </c>
      <c r="C31" s="45">
        <f t="shared" si="9"/>
        <v>136133.07523696008</v>
      </c>
      <c r="D31" s="45">
        <f t="shared" si="1"/>
        <v>10890.646018956806</v>
      </c>
      <c r="E31" s="45">
        <f>0.06*C31</f>
        <v>8167.9845142176046</v>
      </c>
      <c r="F31" s="45" t="str">
        <f>IF(ISEVEN(A31), "YES", "NO")</f>
        <v>YES</v>
      </c>
      <c r="G31" s="45">
        <f t="shared" si="10"/>
        <v>1189.5123078957695</v>
      </c>
      <c r="H31" s="45">
        <f t="shared" si="17"/>
        <v>1189.5123078957695</v>
      </c>
      <c r="I31" s="45">
        <f t="shared" si="3"/>
        <v>11044.785119704195</v>
      </c>
      <c r="J31" s="45">
        <f t="shared" si="18"/>
        <v>27800.82976442065</v>
      </c>
      <c r="K31" s="45">
        <f t="shared" si="19"/>
        <v>342529.8375067595</v>
      </c>
      <c r="L31" s="136">
        <f t="shared" si="11"/>
        <v>354846.23037406913</v>
      </c>
      <c r="M31" s="138">
        <f t="shared" si="20"/>
        <v>28700.798044961477</v>
      </c>
      <c r="N31" s="45">
        <f>$B$9*C31</f>
        <v>20419.96128554401</v>
      </c>
      <c r="O31" s="125">
        <f>D31+E31</f>
        <v>19058.630533174412</v>
      </c>
      <c r="P31" s="45">
        <f t="shared" si="12"/>
        <v>674898.190280615</v>
      </c>
      <c r="Q31" s="45">
        <f>IF(A31&lt;$H$5,SUMPRODUCT((P30+O31)*$I$4:$K$4,$I$11:$K$11),IF(A31&lt;$H$6,SUMPRODUCT((P30+O31)*$I$5:$K$5,$I$11:$K$11),IF(A31&lt;$H$7,SUMPRODUCT((P30+O31)*$I$6:$K$6,$I$11:$K$11),IF(A31&lt;$H$8,SUMPRODUCT((P30+O31)*$I$7:$K$7,$I$11:$K$11),IF(A31&lt;$H$9,SUMPRODUCT((P30+O31)*$I$8:$K$8,$I$11:$K$11),SUMPRODUCT((P30+O31)*$I$9:$K$9,$I$11:$K$11))))))</f>
        <v>54587.353625637988</v>
      </c>
      <c r="R31" s="45">
        <f>P31+K31</f>
        <v>1017428.0277873746</v>
      </c>
      <c r="S31" s="45">
        <f t="shared" si="4"/>
        <v>1029744.4206546841</v>
      </c>
      <c r="T31" s="45">
        <f t="shared" si="5"/>
        <v>26359.756083862201</v>
      </c>
      <c r="U31" s="155">
        <f t="shared" si="21"/>
        <v>669940.61267863237</v>
      </c>
      <c r="V31" s="45">
        <f t="shared" si="13"/>
        <v>54680.223325178165</v>
      </c>
      <c r="W31" s="45">
        <f t="shared" si="6"/>
        <v>1687368.6404660069</v>
      </c>
      <c r="Y31" s="8">
        <v>80</v>
      </c>
      <c r="Z31" s="160">
        <f t="shared" si="14"/>
        <v>4431540.4827125734</v>
      </c>
      <c r="AA31" s="160">
        <f t="shared" si="15"/>
        <v>350834.35241008759</v>
      </c>
      <c r="AB31" s="160">
        <f t="shared" si="7"/>
        <v>30000</v>
      </c>
      <c r="AC31" s="160">
        <f t="shared" si="16"/>
        <v>21512.332440352297</v>
      </c>
      <c r="AD31" s="160">
        <f t="shared" si="8"/>
        <v>4029193.7978621339</v>
      </c>
    </row>
    <row r="32" spans="1:30" x14ac:dyDescent="0.3">
      <c r="A32" s="5">
        <f t="shared" si="0"/>
        <v>45</v>
      </c>
      <c r="B32" s="116">
        <v>15</v>
      </c>
      <c r="C32" s="45">
        <f t="shared" si="9"/>
        <v>140217.06749406888</v>
      </c>
      <c r="D32" s="45">
        <f t="shared" si="1"/>
        <v>11217.36539952551</v>
      </c>
      <c r="E32" s="45">
        <f>0.06*C32</f>
        <v>8413.0240496441329</v>
      </c>
      <c r="F32" s="45" t="str">
        <f>IF(ISEVEN(A32), "YES", "NO")</f>
        <v>NO</v>
      </c>
      <c r="G32" s="45">
        <f t="shared" si="10"/>
        <v>1225.1976771326385</v>
      </c>
      <c r="H32" s="45">
        <f t="shared" si="17"/>
        <v>0</v>
      </c>
      <c r="I32" s="45">
        <f t="shared" si="3"/>
        <v>11494.924569261686</v>
      </c>
      <c r="J32" s="45">
        <f t="shared" si="18"/>
        <v>31154.179062689866</v>
      </c>
      <c r="K32" s="45">
        <f t="shared" si="19"/>
        <v>385178.94113871106</v>
      </c>
      <c r="L32" s="136">
        <f t="shared" si="11"/>
        <v>398579.1765783439</v>
      </c>
      <c r="M32" s="138">
        <f t="shared" si="20"/>
        <v>32238.021635013116</v>
      </c>
      <c r="N32" s="45">
        <f>$B$9*C32</f>
        <v>21032.560124110332</v>
      </c>
      <c r="O32" s="125">
        <f>D32+E32</f>
        <v>19630.389449169641</v>
      </c>
      <c r="P32" s="45">
        <f t="shared" si="12"/>
        <v>755647.09474600572</v>
      </c>
      <c r="Q32" s="45">
        <f>IF(A32&lt;$H$5,SUMPRODUCT((P31+O32)*$I$4:$K$4,$I$11:$K$11),IF(A32&lt;$H$6,SUMPRODUCT((P31+O32)*$I$5:$K$5,$I$11:$K$11),IF(A32&lt;$H$7,SUMPRODUCT((P31+O32)*$I$6:$K$6,$I$11:$K$11),IF(A32&lt;$H$8,SUMPRODUCT((P31+O32)*$I$7:$K$7,$I$11:$K$11),IF(A32&lt;$H$9,SUMPRODUCT((P31+O32)*$I$8:$K$8,$I$11:$K$11),SUMPRODUCT((P31+O32)*$I$9:$K$9,$I$11:$K$11))))))</f>
        <v>61118.515016221056</v>
      </c>
      <c r="R32" s="45">
        <f>P32+K32</f>
        <v>1140826.0358847168</v>
      </c>
      <c r="S32" s="45">
        <f t="shared" si="4"/>
        <v>1154226.2713243496</v>
      </c>
      <c r="T32" s="45">
        <f t="shared" si="5"/>
        <v>27269.344662344436</v>
      </c>
      <c r="U32" s="155">
        <f t="shared" si="21"/>
        <v>751890.18066615495</v>
      </c>
      <c r="V32" s="45">
        <f t="shared" si="13"/>
        <v>61354.476246005965</v>
      </c>
      <c r="W32" s="45">
        <f t="shared" si="6"/>
        <v>1892716.2165508717</v>
      </c>
      <c r="Y32" s="8">
        <v>81</v>
      </c>
      <c r="Z32" s="160">
        <f t="shared" si="14"/>
        <v>4150069.6117979982</v>
      </c>
      <c r="AA32" s="160">
        <f t="shared" si="15"/>
        <v>364867.72650649113</v>
      </c>
      <c r="AB32" s="160">
        <f t="shared" si="7"/>
        <v>30000</v>
      </c>
      <c r="AC32" s="160">
        <f t="shared" si="16"/>
        <v>20145.96898931067</v>
      </c>
      <c r="AD32" s="160">
        <f t="shared" si="8"/>
        <v>3735055.9163021962</v>
      </c>
    </row>
    <row r="33" spans="1:31" x14ac:dyDescent="0.3">
      <c r="A33" s="5">
        <f t="shared" si="0"/>
        <v>46</v>
      </c>
      <c r="B33" s="116">
        <v>16</v>
      </c>
      <c r="C33" s="45">
        <f t="shared" si="9"/>
        <v>144423.57951889094</v>
      </c>
      <c r="D33" s="45">
        <f t="shared" si="1"/>
        <v>11553.886361511275</v>
      </c>
      <c r="E33" s="45">
        <f>0.06*C33</f>
        <v>8665.4147711334554</v>
      </c>
      <c r="F33" s="45" t="str">
        <f>IF(ISEVEN(A33), "YES", "NO")</f>
        <v>YES</v>
      </c>
      <c r="G33" s="45">
        <f t="shared" si="10"/>
        <v>1261.9536074466189</v>
      </c>
      <c r="H33" s="45">
        <f t="shared" si="17"/>
        <v>1261.9536074466189</v>
      </c>
      <c r="I33" s="45">
        <f t="shared" si="3"/>
        <v>11964.507997104218</v>
      </c>
      <c r="J33" s="45">
        <f t="shared" si="18"/>
        <v>33757.193176544301</v>
      </c>
      <c r="K33" s="45">
        <f t="shared" si="19"/>
        <v>429638.68870491296</v>
      </c>
      <c r="L33" s="136">
        <f t="shared" si="11"/>
        <v>445439.89776436117</v>
      </c>
      <c r="M33" s="138">
        <f t="shared" si="20"/>
        <v>34896.213188913091</v>
      </c>
      <c r="N33" s="45">
        <f>$B$9*C33</f>
        <v>21663.53692783364</v>
      </c>
      <c r="O33" s="125">
        <f>D33+E33</f>
        <v>20219.30113264473</v>
      </c>
      <c r="P33" s="45">
        <f t="shared" si="12"/>
        <v>841815.03952833579</v>
      </c>
      <c r="Q33" s="45">
        <f>IF(A33&lt;$H$5,SUMPRODUCT((P32+O33)*$I$4:$K$4,$I$11:$K$11),IF(A33&lt;$H$6,SUMPRODUCT((P32+O33)*$I$5:$K$5,$I$11:$K$11),IF(A33&lt;$H$7,SUMPRODUCT((P32+O33)*$I$6:$K$6,$I$11:$K$11),IF(A33&lt;$H$8,SUMPRODUCT((P32+O33)*$I$7:$K$7,$I$11:$K$11),IF(A33&lt;$H$9,SUMPRODUCT((P32+O33)*$I$8:$K$8,$I$11:$K$11),SUMPRODUCT((P32+O33)*$I$9:$K$9,$I$11:$K$11))))))</f>
        <v>65948.643649685298</v>
      </c>
      <c r="R33" s="45">
        <f>P33+K33</f>
        <v>1271453.7282332487</v>
      </c>
      <c r="S33" s="45">
        <f t="shared" si="4"/>
        <v>1287254.9372926969</v>
      </c>
      <c r="T33" s="45">
        <f t="shared" si="5"/>
        <v>28212.160692979447</v>
      </c>
      <c r="U33" s="155">
        <f t="shared" si="21"/>
        <v>841456.81760514039</v>
      </c>
      <c r="V33" s="45">
        <f t="shared" si="13"/>
        <v>66308.699015526436</v>
      </c>
      <c r="W33" s="45">
        <f t="shared" si="6"/>
        <v>2112910.5458383891</v>
      </c>
      <c r="Y33" s="8">
        <v>82</v>
      </c>
      <c r="Z33" s="160">
        <f t="shared" si="14"/>
        <v>3847107.5937912622</v>
      </c>
      <c r="AA33" s="160">
        <f t="shared" si="15"/>
        <v>379462.43556675082</v>
      </c>
      <c r="AB33" s="160">
        <f t="shared" si="7"/>
        <v>30000</v>
      </c>
      <c r="AC33" s="160">
        <f t="shared" si="16"/>
        <v>18675.279581510982</v>
      </c>
      <c r="AD33" s="160">
        <f t="shared" si="8"/>
        <v>3418969.8786430005</v>
      </c>
    </row>
    <row r="34" spans="1:31" x14ac:dyDescent="0.3">
      <c r="A34" s="5">
        <f t="shared" si="0"/>
        <v>47</v>
      </c>
      <c r="B34" s="116">
        <v>17</v>
      </c>
      <c r="C34" s="45">
        <f t="shared" si="9"/>
        <v>148756.28690445767</v>
      </c>
      <c r="D34" s="45">
        <f t="shared" si="1"/>
        <v>11900.502952356614</v>
      </c>
      <c r="E34" s="45">
        <f>0.06*C34</f>
        <v>8925.3772142674588</v>
      </c>
      <c r="F34" s="45" t="str">
        <f>IF(ISEVEN(A34), "YES", "NO")</f>
        <v>NO</v>
      </c>
      <c r="G34" s="45">
        <f t="shared" si="10"/>
        <v>1299.8122156700176</v>
      </c>
      <c r="H34" s="45">
        <f t="shared" si="17"/>
        <v>0</v>
      </c>
      <c r="I34" s="45">
        <f t="shared" si="3"/>
        <v>12454.415712320262</v>
      </c>
      <c r="J34" s="45">
        <f t="shared" si="18"/>
        <v>37577.913875464816</v>
      </c>
      <c r="K34" s="45">
        <f t="shared" si="19"/>
        <v>479671.01829269802</v>
      </c>
      <c r="L34" s="136">
        <f t="shared" si="11"/>
        <v>496815.33012219932</v>
      </c>
      <c r="M34" s="138">
        <f t="shared" si="20"/>
        <v>38921.016645517921</v>
      </c>
      <c r="N34" s="45">
        <f>$B$9*C34</f>
        <v>22313.44303566865</v>
      </c>
      <c r="O34" s="125">
        <f>D34+E34</f>
        <v>20825.880166624072</v>
      </c>
      <c r="P34" s="45">
        <f t="shared" si="12"/>
        <v>935965.39786903141</v>
      </c>
      <c r="Q34" s="45">
        <f>IF(A34&lt;$H$5,SUMPRODUCT((P33+O34)*$I$4:$K$4,$I$11:$K$11),IF(A34&lt;$H$6,SUMPRODUCT((P33+O34)*$I$5:$K$5,$I$11:$K$11),IF(A34&lt;$H$7,SUMPRODUCT((P33+O34)*$I$6:$K$6,$I$11:$K$11),IF(A34&lt;$H$8,SUMPRODUCT((P33+O34)*$I$7:$K$7,$I$11:$K$11),IF(A34&lt;$H$9,SUMPRODUCT((P33+O34)*$I$8:$K$8,$I$11:$K$11),SUMPRODUCT((P33+O34)*$I$9:$K$9,$I$11:$K$11))))))</f>
        <v>73324.478174071584</v>
      </c>
      <c r="R34" s="45">
        <f>P34+K34</f>
        <v>1415636.4161617295</v>
      </c>
      <c r="S34" s="45">
        <f t="shared" si="4"/>
        <v>1432780.7279912308</v>
      </c>
      <c r="T34" s="45">
        <f t="shared" si="5"/>
        <v>29189.497989071751</v>
      </c>
      <c r="U34" s="155">
        <f t="shared" si="21"/>
        <v>936955.0146097386</v>
      </c>
      <c r="V34" s="45">
        <f t="shared" si="13"/>
        <v>74004.936825508034</v>
      </c>
      <c r="W34" s="45">
        <f t="shared" si="6"/>
        <v>2352591.4307714682</v>
      </c>
      <c r="Y34" s="8">
        <v>83</v>
      </c>
      <c r="Z34" s="160">
        <f t="shared" si="14"/>
        <v>3521538.9750022907</v>
      </c>
      <c r="AA34" s="160">
        <f t="shared" si="15"/>
        <v>394640.93298942089</v>
      </c>
      <c r="AB34" s="160">
        <f t="shared" si="7"/>
        <v>30000</v>
      </c>
      <c r="AC34" s="160">
        <f t="shared" si="16"/>
        <v>17094.849393215001</v>
      </c>
      <c r="AD34" s="160">
        <f t="shared" si="8"/>
        <v>3079803.1926196548</v>
      </c>
    </row>
    <row r="35" spans="1:31" x14ac:dyDescent="0.3">
      <c r="A35" s="5">
        <f t="shared" si="0"/>
        <v>48</v>
      </c>
      <c r="B35" s="116">
        <v>18</v>
      </c>
      <c r="C35" s="45">
        <f t="shared" si="9"/>
        <v>153218.97551159139</v>
      </c>
      <c r="D35" s="45">
        <f t="shared" si="1"/>
        <v>12257.518040927311</v>
      </c>
      <c r="E35" s="45">
        <f>0.06*C35</f>
        <v>9193.1385306954835</v>
      </c>
      <c r="F35" s="45" t="str">
        <f>IF(ISEVEN(A35), "YES", "NO")</f>
        <v>YES</v>
      </c>
      <c r="G35" s="45">
        <f t="shared" si="10"/>
        <v>1338.8065821401162</v>
      </c>
      <c r="H35" s="45">
        <f t="shared" si="17"/>
        <v>1338.8065821401162</v>
      </c>
      <c r="I35" s="45">
        <f t="shared" si="3"/>
        <v>12965.569282757931</v>
      </c>
      <c r="J35" s="45">
        <f t="shared" si="18"/>
        <v>41874.109943913762</v>
      </c>
      <c r="K35" s="45">
        <f t="shared" si="19"/>
        <v>533171.8909372295</v>
      </c>
      <c r="L35" s="136">
        <f t="shared" si="11"/>
        <v>553112.27585437859</v>
      </c>
      <c r="M35" s="138">
        <f t="shared" si="20"/>
        <v>43331.376449421368</v>
      </c>
      <c r="N35" s="45">
        <f>$B$9*C35</f>
        <v>22982.846326738709</v>
      </c>
      <c r="O35" s="125">
        <f>D35+E35</f>
        <v>21450.656571622792</v>
      </c>
      <c r="P35" s="45">
        <f t="shared" si="12"/>
        <v>1038796.4190681098</v>
      </c>
      <c r="Q35" s="45">
        <f>IF(A35&lt;$H$5,SUMPRODUCT((P34+O35)*$I$4:$K$4,$I$11:$K$11),IF(A35&lt;$H$6,SUMPRODUCT((P34+O35)*$I$5:$K$5,$I$11:$K$11),IF(A35&lt;$H$7,SUMPRODUCT((P34+O35)*$I$6:$K$6,$I$11:$K$11),IF(A35&lt;$H$8,SUMPRODUCT((P34+O35)*$I$7:$K$7,$I$11:$K$11),IF(A35&lt;$H$9,SUMPRODUCT((P34+O35)*$I$8:$K$8,$I$11:$K$11),SUMPRODUCT((P34+O35)*$I$9:$K$9,$I$11:$K$11))))))</f>
        <v>81380.364627455623</v>
      </c>
      <c r="R35" s="45">
        <f>P35+K35</f>
        <v>1571968.3100053393</v>
      </c>
      <c r="S35" s="45">
        <f t="shared" si="4"/>
        <v>1591908.6949224884</v>
      </c>
      <c r="T35" s="45">
        <f t="shared" si="5"/>
        <v>30202.704027811964</v>
      </c>
      <c r="U35" s="155">
        <f t="shared" si="21"/>
        <v>1041162.6554630586</v>
      </c>
      <c r="V35" s="45">
        <f t="shared" si="13"/>
        <v>82208.406084191796</v>
      </c>
      <c r="W35" s="45">
        <f t="shared" si="6"/>
        <v>2613130.9654683978</v>
      </c>
      <c r="Y35" s="8">
        <v>84</v>
      </c>
      <c r="Z35" s="160">
        <f t="shared" si="14"/>
        <v>3172197.2883982444</v>
      </c>
      <c r="AA35" s="160">
        <f t="shared" si="15"/>
        <v>410426.57030899776</v>
      </c>
      <c r="AB35" s="160">
        <f t="shared" si="7"/>
        <v>30000</v>
      </c>
      <c r="AC35" s="160">
        <f t="shared" si="16"/>
        <v>15399.015963098274</v>
      </c>
      <c r="AD35" s="160">
        <f t="shared" si="8"/>
        <v>2716371.7021261482</v>
      </c>
    </row>
    <row r="36" spans="1:31" x14ac:dyDescent="0.3">
      <c r="A36" s="5">
        <f t="shared" si="0"/>
        <v>49</v>
      </c>
      <c r="B36" s="116">
        <v>19</v>
      </c>
      <c r="C36" s="45">
        <f t="shared" si="9"/>
        <v>157815.54477693915</v>
      </c>
      <c r="D36" s="45">
        <f t="shared" si="1"/>
        <v>12625.243582155132</v>
      </c>
      <c r="E36" s="45">
        <f>0.06*C36</f>
        <v>9468.9326866163483</v>
      </c>
      <c r="F36" s="45" t="str">
        <f>IF(ISEVEN(A36), "YES", "NO")</f>
        <v>NO</v>
      </c>
      <c r="G36" s="45">
        <f t="shared" si="10"/>
        <v>1378.9707796043278</v>
      </c>
      <c r="H36" s="45">
        <f t="shared" si="17"/>
        <v>0</v>
      </c>
      <c r="I36" s="45">
        <f t="shared" si="3"/>
        <v>13498.933515262135</v>
      </c>
      <c r="J36" s="45">
        <f t="shared" si="18"/>
        <v>46467.020078461792</v>
      </c>
      <c r="K36" s="45">
        <f t="shared" si="19"/>
        <v>593137.84453095344</v>
      </c>
      <c r="L36" s="136">
        <f t="shared" si="11"/>
        <v>614773.16216606018</v>
      </c>
      <c r="M36" s="138">
        <f t="shared" si="20"/>
        <v>48161.952796419457</v>
      </c>
      <c r="N36" s="45">
        <f>$B$9*C36</f>
        <v>23672.33171654087</v>
      </c>
      <c r="O36" s="125">
        <f>D36+E36</f>
        <v>22094.17626877148</v>
      </c>
      <c r="P36" s="45">
        <f t="shared" si="12"/>
        <v>1151066.2959405161</v>
      </c>
      <c r="Q36" s="45">
        <f>IF(A36&lt;$H$5,SUMPRODUCT((P35+O36)*$I$4:$K$4,$I$11:$K$11),IF(A36&lt;$H$6,SUMPRODUCT((P35+O36)*$I$5:$K$5,$I$11:$K$11),IF(A36&lt;$H$7,SUMPRODUCT((P35+O36)*$I$6:$K$6,$I$11:$K$11),IF(A36&lt;$H$8,SUMPRODUCT((P35+O36)*$I$7:$K$7,$I$11:$K$11),IF(A36&lt;$H$9,SUMPRODUCT((P35+O36)*$I$8:$K$8,$I$11:$K$11),SUMPRODUCT((P35+O36)*$I$9:$K$9,$I$11:$K$11))))))</f>
        <v>90175.700603634905</v>
      </c>
      <c r="R36" s="45">
        <f>P36+K36</f>
        <v>1744204.1404714696</v>
      </c>
      <c r="S36" s="45">
        <f t="shared" si="4"/>
        <v>1765839.4581065762</v>
      </c>
      <c r="T36" s="45">
        <f t="shared" si="5"/>
        <v>31253.182302667788</v>
      </c>
      <c r="U36" s="155">
        <f t="shared" si="21"/>
        <v>1154624.2438499182</v>
      </c>
      <c r="V36" s="45">
        <f t="shared" si="13"/>
        <v>91155.346210086762</v>
      </c>
      <c r="W36" s="45">
        <f t="shared" si="6"/>
        <v>2898828.3843213879</v>
      </c>
      <c r="Y36" s="8">
        <v>85</v>
      </c>
      <c r="Z36" s="160">
        <f t="shared" si="14"/>
        <v>2797862.8531899326</v>
      </c>
      <c r="AA36" s="160">
        <f t="shared" si="15"/>
        <v>426843.63312135771</v>
      </c>
      <c r="AB36" s="160">
        <f t="shared" si="7"/>
        <v>30000</v>
      </c>
      <c r="AC36" s="160">
        <f t="shared" si="16"/>
        <v>13581.858510630742</v>
      </c>
      <c r="AD36" s="160">
        <f t="shared" si="8"/>
        <v>2327437.3615579442</v>
      </c>
    </row>
    <row r="37" spans="1:31" x14ac:dyDescent="0.3">
      <c r="A37" s="5">
        <f t="shared" si="0"/>
        <v>50</v>
      </c>
      <c r="B37" s="116">
        <v>20</v>
      </c>
      <c r="C37" s="45">
        <f t="shared" si="9"/>
        <v>162550.01112024733</v>
      </c>
      <c r="D37" s="45">
        <f t="shared" si="1"/>
        <v>13004.000889619787</v>
      </c>
      <c r="E37" s="45">
        <f>0.06*C37</f>
        <v>9753.0006672148393</v>
      </c>
      <c r="F37" s="45" t="str">
        <f>IF(ISEVEN(A37), "YES", "NO")</f>
        <v>YES</v>
      </c>
      <c r="G37" s="45">
        <f t="shared" si="10"/>
        <v>1420.3399029924562</v>
      </c>
      <c r="H37" s="45">
        <f t="shared" si="17"/>
        <v>1420.3399029924562</v>
      </c>
      <c r="I37" s="45">
        <f t="shared" si="3"/>
        <v>14055.518532442537</v>
      </c>
      <c r="J37" s="45">
        <f t="shared" si="18"/>
        <v>51611.435860388658</v>
      </c>
      <c r="K37" s="45">
        <f t="shared" si="19"/>
        <v>657384.45902079216</v>
      </c>
      <c r="L37" s="136">
        <f t="shared" si="11"/>
        <v>682279.11855787539</v>
      </c>
      <c r="M37" s="138">
        <f t="shared" si="20"/>
        <v>53450.437859372731</v>
      </c>
      <c r="N37" s="45">
        <f>$B$9*C37</f>
        <v>24382.501668037101</v>
      </c>
      <c r="O37" s="125">
        <f>D37+E37</f>
        <v>22757.001556834628</v>
      </c>
      <c r="P37" s="45">
        <f t="shared" si="12"/>
        <v>1273598.2777846255</v>
      </c>
      <c r="Q37" s="45">
        <f>IF(A37&lt;$H$5,SUMPRODUCT((P36+O37)*$I$4:$K$4,$I$11:$K$11),IF(A37&lt;$H$6,SUMPRODUCT((P36+O37)*$I$5:$K$5,$I$11:$K$11),IF(A37&lt;$H$7,SUMPRODUCT((P36+O37)*$I$6:$K$6,$I$11:$K$11),IF(A37&lt;$H$8,SUMPRODUCT((P36+O37)*$I$7:$K$7,$I$11:$K$11),IF(A37&lt;$H$9,SUMPRODUCT((P36+O37)*$I$8:$K$8,$I$11:$K$11),SUMPRODUCT((P36+O37)*$I$9:$K$9,$I$11:$K$11))))))</f>
        <v>99774.980287274811</v>
      </c>
      <c r="R37" s="45">
        <f>P37+K37</f>
        <v>1930982.7368054176</v>
      </c>
      <c r="S37" s="45">
        <f t="shared" si="4"/>
        <v>1955877.396342501</v>
      </c>
      <c r="T37" s="45">
        <f t="shared" si="5"/>
        <v>32342.394783470365</v>
      </c>
      <c r="U37" s="155">
        <f t="shared" si="21"/>
        <v>1278121.9848434753</v>
      </c>
      <c r="V37" s="45">
        <f t="shared" si="13"/>
        <v>100892.16428383804</v>
      </c>
      <c r="W37" s="45">
        <f t="shared" si="6"/>
        <v>3209104.7216488929</v>
      </c>
      <c r="Y37" s="8">
        <v>86</v>
      </c>
      <c r="Z37" s="160">
        <f t="shared" si="14"/>
        <v>2397260.4824046828</v>
      </c>
      <c r="AA37" s="160">
        <f t="shared" si="15"/>
        <v>443917.37844621204</v>
      </c>
      <c r="AB37" s="160">
        <f t="shared" si="7"/>
        <v>30000</v>
      </c>
      <c r="AC37" s="160">
        <f t="shared" si="16"/>
        <v>11637.186807789722</v>
      </c>
      <c r="AD37" s="160">
        <f t="shared" si="8"/>
        <v>1911705.9171506811</v>
      </c>
    </row>
    <row r="38" spans="1:31" x14ac:dyDescent="0.3">
      <c r="A38" s="5">
        <f t="shared" si="0"/>
        <v>51</v>
      </c>
      <c r="B38" s="116">
        <v>21</v>
      </c>
      <c r="C38" s="45">
        <f t="shared" si="9"/>
        <v>167426.51145385476</v>
      </c>
      <c r="D38" s="45">
        <f t="shared" si="1"/>
        <v>13394.120916308382</v>
      </c>
      <c r="E38" s="45">
        <f>0.06*C38</f>
        <v>10045.590687231286</v>
      </c>
      <c r="F38" s="45" t="str">
        <f>IF(ISEVEN(A38), "YES", "NO")</f>
        <v>NO</v>
      </c>
      <c r="G38" s="45">
        <f t="shared" si="10"/>
        <v>1462.9501000822288</v>
      </c>
      <c r="H38" s="45">
        <f t="shared" si="17"/>
        <v>0</v>
      </c>
      <c r="I38" s="45">
        <f t="shared" si="3"/>
        <v>14636.381950724479</v>
      </c>
      <c r="J38" s="45">
        <f t="shared" si="18"/>
        <v>55105.708959664364</v>
      </c>
      <c r="K38" s="45">
        <f t="shared" si="19"/>
        <v>727126.54993118101</v>
      </c>
      <c r="L38" s="136">
        <f t="shared" si="11"/>
        <v>754062.57155030512</v>
      </c>
      <c r="M38" s="138">
        <f t="shared" si="20"/>
        <v>57147.071041705196</v>
      </c>
      <c r="N38" s="45">
        <f>$B$9*C38</f>
        <v>25113.976718078215</v>
      </c>
      <c r="O38" s="125">
        <f>D38+E38</f>
        <v>23439.711603539668</v>
      </c>
      <c r="P38" s="45">
        <f t="shared" si="12"/>
        <v>1403395.1045179949</v>
      </c>
      <c r="Q38" s="45">
        <f>IF(A38&lt;$H$5,SUMPRODUCT((P37+O38)*$I$4:$K$4,$I$11:$K$11),IF(A38&lt;$H$6,SUMPRODUCT((P37+O38)*$I$5:$K$5,$I$11:$K$11),IF(A38&lt;$H$7,SUMPRODUCT((P37+O38)*$I$6:$K$6,$I$11:$K$11),IF(A38&lt;$H$8,SUMPRODUCT((P37+O38)*$I$7:$K$7,$I$11:$K$11),IF(A38&lt;$H$9,SUMPRODUCT((P37+O38)*$I$8:$K$8,$I$11:$K$11),SUMPRODUCT((P37+O38)*$I$9:$K$9,$I$11:$K$11))))))</f>
        <v>106357.11512982956</v>
      </c>
      <c r="R38" s="45">
        <f>P38+K38</f>
        <v>2130521.654449176</v>
      </c>
      <c r="S38" s="45">
        <f t="shared" si="4"/>
        <v>2157457.6760682999</v>
      </c>
      <c r="T38" s="45">
        <f t="shared" si="5"/>
        <v>33471.864489283136</v>
      </c>
      <c r="U38" s="155">
        <f t="shared" si="21"/>
        <v>1412486.0136165966</v>
      </c>
      <c r="V38" s="45">
        <f t="shared" si="13"/>
        <v>107550.69564528619</v>
      </c>
      <c r="W38" s="45">
        <f t="shared" si="6"/>
        <v>3543007.6680657724</v>
      </c>
      <c r="Y38" s="8">
        <v>87</v>
      </c>
      <c r="Z38" s="160">
        <f t="shared" si="14"/>
        <v>1969057.0946652016</v>
      </c>
      <c r="AA38" s="160">
        <f t="shared" si="15"/>
        <v>461674.07358406053</v>
      </c>
      <c r="AB38" s="160">
        <f t="shared" si="7"/>
        <v>30000</v>
      </c>
      <c r="AC38" s="160">
        <f t="shared" si="16"/>
        <v>9558.5295857534056</v>
      </c>
      <c r="AD38" s="160">
        <f t="shared" si="8"/>
        <v>1467824.4914953879</v>
      </c>
    </row>
    <row r="39" spans="1:31" x14ac:dyDescent="0.3">
      <c r="A39" s="5">
        <f t="shared" si="0"/>
        <v>52</v>
      </c>
      <c r="B39" s="116">
        <v>22</v>
      </c>
      <c r="C39" s="45">
        <f t="shared" si="9"/>
        <v>172449.3067974704</v>
      </c>
      <c r="D39" s="45">
        <f t="shared" si="1"/>
        <v>13795.944543797632</v>
      </c>
      <c r="E39" s="45">
        <f>0.06*C39</f>
        <v>10346.958407848224</v>
      </c>
      <c r="F39" s="45" t="str">
        <f>IF(ISEVEN(A39), "YES", "NO")</f>
        <v>YES</v>
      </c>
      <c r="G39" s="45">
        <f t="shared" si="10"/>
        <v>1506.8386030846916</v>
      </c>
      <c r="H39" s="45">
        <f t="shared" si="17"/>
        <v>1506.8386030846916</v>
      </c>
      <c r="I39" s="45">
        <f t="shared" si="3"/>
        <v>15242.631164670311</v>
      </c>
      <c r="J39" s="45">
        <f t="shared" si="18"/>
        <v>60874.272849859815</v>
      </c>
      <c r="K39" s="45">
        <f t="shared" si="19"/>
        <v>801736.61534262646</v>
      </c>
      <c r="L39" s="136">
        <f t="shared" si="11"/>
        <v>832388.22933760344</v>
      </c>
      <c r="M39" s="138">
        <f t="shared" si="20"/>
        <v>63083.026622627993</v>
      </c>
      <c r="N39" s="45">
        <f>$B$9*C39</f>
        <v>25867.396019620559</v>
      </c>
      <c r="O39" s="125">
        <f>D39+E39</f>
        <v>24142.902951645854</v>
      </c>
      <c r="P39" s="45">
        <f t="shared" si="12"/>
        <v>1544596.1240821513</v>
      </c>
      <c r="Q39" s="45">
        <f>IF(A39&lt;$H$5,SUMPRODUCT((P38+O39)*$I$4:$K$4,$I$11:$K$11),IF(A39&lt;$H$6,SUMPRODUCT((P38+O39)*$I$5:$K$5,$I$11:$K$11),IF(A39&lt;$H$7,SUMPRODUCT((P38+O39)*$I$6:$K$6,$I$11:$K$11),IF(A39&lt;$H$8,SUMPRODUCT((P38+O39)*$I$7:$K$7,$I$11:$K$11),IF(A39&lt;$H$9,SUMPRODUCT((P38+O39)*$I$8:$K$8,$I$11:$K$11),SUMPRODUCT((P38+O39)*$I$9:$K$9,$I$11:$K$11))))))</f>
        <v>117058.11661251054</v>
      </c>
      <c r="R39" s="45">
        <f>P39+K39</f>
        <v>2346332.7394247777</v>
      </c>
      <c r="S39" s="45">
        <f t="shared" si="4"/>
        <v>2376984.3534197547</v>
      </c>
      <c r="T39" s="45">
        <f t="shared" si="5"/>
        <v>34643.17817938573</v>
      </c>
      <c r="U39" s="155">
        <f t="shared" si="21"/>
        <v>1554679.8874412687</v>
      </c>
      <c r="V39" s="45">
        <f t="shared" si="13"/>
        <v>118664.59372727056</v>
      </c>
      <c r="W39" s="45">
        <f t="shared" si="6"/>
        <v>3901012.6268660463</v>
      </c>
      <c r="Y39" s="8">
        <v>88</v>
      </c>
      <c r="Z39" s="160">
        <f t="shared" si="14"/>
        <v>1511859.2262402496</v>
      </c>
      <c r="AA39" s="160">
        <f t="shared" si="15"/>
        <v>480141.03652742296</v>
      </c>
      <c r="AB39" s="160">
        <f t="shared" si="7"/>
        <v>30000</v>
      </c>
      <c r="AC39" s="160">
        <f t="shared" si="16"/>
        <v>7339.1224574769394</v>
      </c>
      <c r="AD39" s="160">
        <f t="shared" si="8"/>
        <v>994379.06725534971</v>
      </c>
    </row>
    <row r="40" spans="1:31" x14ac:dyDescent="0.3">
      <c r="A40" s="5">
        <f t="shared" si="0"/>
        <v>53</v>
      </c>
      <c r="B40" s="116">
        <v>23</v>
      </c>
      <c r="C40" s="45">
        <f t="shared" si="9"/>
        <v>177622.78600139453</v>
      </c>
      <c r="D40" s="45">
        <f t="shared" si="1"/>
        <v>14209.822880111562</v>
      </c>
      <c r="E40" s="45">
        <f>0.06*C40</f>
        <v>10657.367160083671</v>
      </c>
      <c r="F40" s="45" t="str">
        <f>IF(ISEVEN(A40), "YES", "NO")</f>
        <v>NO</v>
      </c>
      <c r="G40" s="45">
        <f t="shared" si="10"/>
        <v>1552.0437611772388</v>
      </c>
      <c r="H40" s="45">
        <f t="shared" si="17"/>
        <v>0</v>
      </c>
      <c r="I40" s="45">
        <f t="shared" si="3"/>
        <v>15875.425742805728</v>
      </c>
      <c r="J40" s="45">
        <f t="shared" si="18"/>
        <v>67044.187369005434</v>
      </c>
      <c r="K40" s="45">
        <f t="shared" si="19"/>
        <v>884656.22845443757</v>
      </c>
      <c r="L40" s="136">
        <f t="shared" si="11"/>
        <v>917821.27479700267</v>
      </c>
      <c r="M40" s="138">
        <f t="shared" si="20"/>
        <v>69557.619716593559</v>
      </c>
      <c r="N40" s="45">
        <f>$B$9*C40</f>
        <v>26643.417900209181</v>
      </c>
      <c r="O40" s="125">
        <f>D40+E40</f>
        <v>24867.190040195233</v>
      </c>
      <c r="P40" s="45">
        <f t="shared" si="12"/>
        <v>1698159.3058803789</v>
      </c>
      <c r="Q40" s="45">
        <f>IF(A40&lt;$H$5,SUMPRODUCT((P39+O40)*$I$4:$K$4,$I$11:$K$11),IF(A40&lt;$H$6,SUMPRODUCT((P39+O40)*$I$5:$K$5,$I$11:$K$11),IF(A40&lt;$H$7,SUMPRODUCT((P39+O40)*$I$6:$K$6,$I$11:$K$11),IF(A40&lt;$H$8,SUMPRODUCT((P39+O40)*$I$7:$K$7,$I$11:$K$11),IF(A40&lt;$H$9,SUMPRODUCT((P39+O40)*$I$8:$K$8,$I$11:$K$11),SUMPRODUCT((P39+O40)*$I$9:$K$9,$I$11:$K$11))))))</f>
        <v>128695.99175803241</v>
      </c>
      <c r="R40" s="45">
        <f>P40+K40</f>
        <v>2582815.5343348165</v>
      </c>
      <c r="S40" s="45">
        <f t="shared" si="4"/>
        <v>2615980.5806773817</v>
      </c>
      <c r="T40" s="45">
        <f t="shared" si="5"/>
        <v>35857.989167962616</v>
      </c>
      <c r="U40" s="155">
        <f t="shared" si="21"/>
        <v>1709202.470336502</v>
      </c>
      <c r="V40" s="45">
        <f t="shared" si="13"/>
        <v>130424.10588195697</v>
      </c>
      <c r="W40" s="45">
        <f t="shared" si="6"/>
        <v>4292018.0046713185</v>
      </c>
      <c r="Y40" s="8">
        <v>89</v>
      </c>
      <c r="Z40" s="160">
        <f t="shared" si="14"/>
        <v>1024210.4392730102</v>
      </c>
      <c r="AA40" s="160">
        <f t="shared" si="15"/>
        <v>499346.67798851989</v>
      </c>
      <c r="AB40" s="160">
        <f t="shared" si="7"/>
        <v>30000</v>
      </c>
      <c r="AC40" s="160">
        <f t="shared" si="16"/>
        <v>4971.8953362767488</v>
      </c>
      <c r="AD40" s="160">
        <f t="shared" si="8"/>
        <v>489891.86594821361</v>
      </c>
    </row>
    <row r="41" spans="1:31" x14ac:dyDescent="0.3">
      <c r="A41" s="5">
        <f t="shared" si="0"/>
        <v>54</v>
      </c>
      <c r="B41" s="116">
        <v>24</v>
      </c>
      <c r="C41" s="45">
        <f t="shared" si="9"/>
        <v>182951.46958143637</v>
      </c>
      <c r="D41" s="45">
        <f t="shared" si="1"/>
        <v>14636.117566514909</v>
      </c>
      <c r="E41" s="45">
        <f>0.06*C41</f>
        <v>10977.088174886181</v>
      </c>
      <c r="F41" s="45" t="str">
        <f>IF(ISEVEN(A41), "YES", "NO")</f>
        <v>YES</v>
      </c>
      <c r="G41" s="45">
        <f t="shared" si="10"/>
        <v>1598.6050740125502</v>
      </c>
      <c r="H41" s="45">
        <f t="shared" si="17"/>
        <v>1598.6050740125502</v>
      </c>
      <c r="I41" s="45">
        <f t="shared" si="3"/>
        <v>16535.979940444966</v>
      </c>
      <c r="J41" s="45">
        <f t="shared" si="18"/>
        <v>73897.761088380357</v>
      </c>
      <c r="K41" s="45">
        <f t="shared" si="19"/>
        <v>973491.36440925032</v>
      </c>
      <c r="L41" s="136">
        <f t="shared" si="11"/>
        <v>1010974.5496259183</v>
      </c>
      <c r="M41" s="138">
        <f t="shared" si="20"/>
        <v>76617.2948884707</v>
      </c>
      <c r="N41" s="45">
        <f>$B$9*C41</f>
        <v>27442.720437215456</v>
      </c>
      <c r="O41" s="125">
        <f>D41+E41</f>
        <v>25613.205741401092</v>
      </c>
      <c r="P41" s="45">
        <f t="shared" si="12"/>
        <v>1865121.857574766</v>
      </c>
      <c r="Q41" s="45">
        <f>IF(A41&lt;$H$5,SUMPRODUCT((P40+O41)*$I$4:$K$4,$I$11:$K$11),IF(A41&lt;$H$6,SUMPRODUCT((P40+O41)*$I$5:$K$5,$I$11:$K$11),IF(A41&lt;$H$7,SUMPRODUCT((P40+O41)*$I$6:$K$6,$I$11:$K$11),IF(A41&lt;$H$8,SUMPRODUCT((P40+O41)*$I$7:$K$7,$I$11:$K$11),IF(A41&lt;$H$9,SUMPRODUCT((P40+O41)*$I$8:$K$8,$I$11:$K$11),SUMPRODUCT((P40+O41)*$I$9:$K$9,$I$11:$K$11))))))</f>
        <v>141349.34595298595</v>
      </c>
      <c r="R41" s="45">
        <f>P41+K41</f>
        <v>2838613.2219840162</v>
      </c>
      <c r="S41" s="45">
        <f t="shared" si="4"/>
        <v>2876096.4072006843</v>
      </c>
      <c r="T41" s="45">
        <f t="shared" si="5"/>
        <v>37118.020268356559</v>
      </c>
      <c r="U41" s="155">
        <f t="shared" si="21"/>
        <v>1876744.5964868155</v>
      </c>
      <c r="V41" s="45">
        <f t="shared" si="13"/>
        <v>143198.2802295984</v>
      </c>
      <c r="W41" s="45">
        <f t="shared" si="6"/>
        <v>4715357.818470832</v>
      </c>
      <c r="Y41" s="8">
        <v>90</v>
      </c>
      <c r="Z41" s="160">
        <f t="shared" si="14"/>
        <v>504588.62192666001</v>
      </c>
      <c r="AA41" s="160">
        <f t="shared" si="15"/>
        <v>519320.5451080607</v>
      </c>
      <c r="AB41" s="160">
        <f t="shared" si="7"/>
        <v>30000</v>
      </c>
      <c r="AC41" s="160">
        <f t="shared" si="16"/>
        <v>2449.4593297410679</v>
      </c>
      <c r="AD41" s="160">
        <f t="shared" si="8"/>
        <v>-47181.382511141761</v>
      </c>
      <c r="AE41" s="158">
        <f>0.5*Z9</f>
        <v>3301607.4887822894</v>
      </c>
    </row>
    <row r="42" spans="1:31" x14ac:dyDescent="0.3">
      <c r="A42" s="5">
        <f t="shared" si="0"/>
        <v>55</v>
      </c>
      <c r="B42" s="116">
        <v>25</v>
      </c>
      <c r="C42" s="45">
        <f t="shared" si="9"/>
        <v>188440.01366887946</v>
      </c>
      <c r="D42" s="45">
        <f t="shared" si="1"/>
        <v>15075.201093510357</v>
      </c>
      <c r="E42" s="45">
        <f>0.06*C42</f>
        <v>11306.400820132767</v>
      </c>
      <c r="F42" s="45" t="str">
        <f>IF(ISEVEN(A42), "YES", "NO")</f>
        <v>NO</v>
      </c>
      <c r="G42" s="45">
        <f t="shared" si="10"/>
        <v>1646.5632262329279</v>
      </c>
      <c r="H42" s="45">
        <f t="shared" si="17"/>
        <v>0</v>
      </c>
      <c r="I42" s="45">
        <f t="shared" si="3"/>
        <v>17225.565335281135</v>
      </c>
      <c r="J42" s="45">
        <f t="shared" si="18"/>
        <v>81238.788239051573</v>
      </c>
      <c r="K42" s="45">
        <f t="shared" si="19"/>
        <v>1071955.717983583</v>
      </c>
      <c r="L42" s="136">
        <f t="shared" si="11"/>
        <v>1112512.5243880178</v>
      </c>
      <c r="M42" s="138">
        <f t="shared" si="20"/>
        <v>84312.409426818354</v>
      </c>
      <c r="N42" s="45">
        <f>$B$9*C42</f>
        <v>28266.002050331917</v>
      </c>
      <c r="O42" s="125">
        <f>D42+E42</f>
        <v>26381.601913643124</v>
      </c>
      <c r="P42" s="45">
        <f t="shared" si="12"/>
        <v>2046606.7431664586</v>
      </c>
      <c r="Q42" s="45">
        <f>IF(A42&lt;$H$5,SUMPRODUCT((P41+O42)*$I$4:$K$4,$I$11:$K$11),IF(A42&lt;$H$6,SUMPRODUCT((P41+O42)*$I$5:$K$5,$I$11:$K$11),IF(A42&lt;$H$7,SUMPRODUCT((P41+O42)*$I$6:$K$6,$I$11:$K$11),IF(A42&lt;$H$8,SUMPRODUCT((P41+O42)*$I$7:$K$7,$I$11:$K$11),IF(A42&lt;$H$9,SUMPRODUCT((P41+O42)*$I$8:$K$8,$I$11:$K$11),SUMPRODUCT((P41+O42)*$I$9:$K$9,$I$11:$K$11))))))</f>
        <v>155103.28367804951</v>
      </c>
      <c r="R42" s="45">
        <f>P42+K42</f>
        <v>3118562.4611500418</v>
      </c>
      <c r="S42" s="45">
        <f t="shared" si="4"/>
        <v>3159119.2675544764</v>
      </c>
      <c r="T42" s="45">
        <f t="shared" si="5"/>
        <v>38425.066873030075</v>
      </c>
      <c r="U42" s="155">
        <f t="shared" si="21"/>
        <v>2058367.943589444</v>
      </c>
      <c r="V42" s="45">
        <f t="shared" si="13"/>
        <v>157043.91239550733</v>
      </c>
      <c r="W42" s="45">
        <f t="shared" si="6"/>
        <v>5176930.4047394861</v>
      </c>
      <c r="Y42" s="8">
        <v>91</v>
      </c>
      <c r="Z42" s="160">
        <f t="shared" si="14"/>
        <v>-48596.823986476018</v>
      </c>
      <c r="AA42" s="160">
        <f t="shared" si="15"/>
        <v>540093.36691238312</v>
      </c>
      <c r="AB42" s="160">
        <f t="shared" si="7"/>
        <v>30000</v>
      </c>
      <c r="AC42" s="160">
        <f t="shared" si="16"/>
        <v>-235.9069125557088</v>
      </c>
      <c r="AD42" s="160">
        <f t="shared" si="8"/>
        <v>-618454.28398630349</v>
      </c>
    </row>
    <row r="43" spans="1:31" x14ac:dyDescent="0.3">
      <c r="A43" s="5">
        <f t="shared" si="0"/>
        <v>56</v>
      </c>
      <c r="B43" s="116">
        <v>26</v>
      </c>
      <c r="C43" s="45">
        <f t="shared" si="9"/>
        <v>194093.21407894584</v>
      </c>
      <c r="D43" s="45">
        <f t="shared" si="1"/>
        <v>15527.457126315667</v>
      </c>
      <c r="E43" s="45">
        <f>0.06*C43</f>
        <v>11645.59284473675</v>
      </c>
      <c r="F43" s="45" t="str">
        <f>IF(ISEVEN(A43), "YES", "NO")</f>
        <v>YES</v>
      </c>
      <c r="G43" s="45">
        <f t="shared" si="10"/>
        <v>1695.9601230199128</v>
      </c>
      <c r="H43" s="45">
        <f t="shared" si="17"/>
        <v>1695.9601230199128</v>
      </c>
      <c r="I43" s="45">
        <f t="shared" si="3"/>
        <v>17945.513591793533</v>
      </c>
      <c r="J43" s="45">
        <f t="shared" si="18"/>
        <v>79562.789905002501</v>
      </c>
      <c r="K43" s="45">
        <f t="shared" si="19"/>
        <v>1167768.0613573589</v>
      </c>
      <c r="L43" s="136">
        <f t="shared" si="11"/>
        <v>1212981.4747523377</v>
      </c>
      <c r="M43" s="138">
        <f t="shared" si="20"/>
        <v>82523.436772526227</v>
      </c>
      <c r="N43" s="45">
        <f>$B$9*C43</f>
        <v>29113.982111841873</v>
      </c>
      <c r="O43" s="125">
        <f>D43+E43</f>
        <v>27173.049971052416</v>
      </c>
      <c r="P43" s="45">
        <f t="shared" si="12"/>
        <v>2225165.7180365492</v>
      </c>
      <c r="Q43" s="45">
        <f>IF(A43&lt;$H$5,SUMPRODUCT((P42+O43)*$I$4:$K$4,$I$11:$K$11),IF(A43&lt;$H$6,SUMPRODUCT((P42+O43)*$I$5:$K$5,$I$11:$K$11),IF(A43&lt;$H$7,SUMPRODUCT((P42+O43)*$I$6:$K$6,$I$11:$K$11),IF(A43&lt;$H$8,SUMPRODUCT((P42+O43)*$I$7:$K$7,$I$11:$K$11),IF(A43&lt;$H$9,SUMPRODUCT((P42+O43)*$I$8:$K$8,$I$11:$K$11),SUMPRODUCT((P42+O43)*$I$9:$K$9,$I$11:$K$11))))))</f>
        <v>151385.92489903831</v>
      </c>
      <c r="R43" s="45">
        <f>P43+K43</f>
        <v>3392933.7793939081</v>
      </c>
      <c r="S43" s="45">
        <f t="shared" si="4"/>
        <v>3438147.1927888868</v>
      </c>
      <c r="T43" s="45">
        <f t="shared" si="5"/>
        <v>39781.000175674941</v>
      </c>
      <c r="U43" s="155">
        <f t="shared" si="21"/>
        <v>2255192.8561606263</v>
      </c>
      <c r="V43" s="45">
        <f t="shared" si="13"/>
        <v>153164.8728948537</v>
      </c>
      <c r="W43" s="45">
        <f t="shared" si="6"/>
        <v>5648126.6355545344</v>
      </c>
      <c r="Y43" s="8">
        <v>92</v>
      </c>
      <c r="Z43" s="160">
        <f t="shared" si="14"/>
        <v>-637007.91250589257</v>
      </c>
      <c r="AA43" s="160">
        <f t="shared" si="15"/>
        <v>561697.10158887843</v>
      </c>
      <c r="AB43" s="160">
        <f t="shared" si="7"/>
        <v>30000</v>
      </c>
      <c r="AC43" s="160">
        <f t="shared" si="16"/>
        <v>-3092.2714199315174</v>
      </c>
      <c r="AD43" s="160">
        <f t="shared" si="8"/>
        <v>-1225612.7426748395</v>
      </c>
    </row>
    <row r="44" spans="1:31" x14ac:dyDescent="0.3">
      <c r="A44" s="5">
        <f t="shared" si="0"/>
        <v>57</v>
      </c>
      <c r="B44" s="116">
        <v>27</v>
      </c>
      <c r="C44" s="45">
        <f t="shared" si="9"/>
        <v>199916.01050131422</v>
      </c>
      <c r="D44" s="45">
        <f t="shared" si="1"/>
        <v>15993.280840105137</v>
      </c>
      <c r="E44" s="45">
        <f>0.06*C44</f>
        <v>11994.960630078853</v>
      </c>
      <c r="F44" s="45" t="str">
        <f>IF(ISEVEN(A44), "YES", "NO")</f>
        <v>NO</v>
      </c>
      <c r="G44" s="45">
        <f t="shared" si="10"/>
        <v>1746.8389267105142</v>
      </c>
      <c r="H44" s="45">
        <f t="shared" si="17"/>
        <v>0</v>
      </c>
      <c r="I44" s="45">
        <f t="shared" si="3"/>
        <v>18697.219360824005</v>
      </c>
      <c r="J44" s="45">
        <f t="shared" si="18"/>
        <v>86611.965492427364</v>
      </c>
      <c r="K44" s="45">
        <f t="shared" si="19"/>
        <v>1273077.2462106103</v>
      </c>
      <c r="L44" s="136">
        <f t="shared" si="11"/>
        <v>1321591.2387834224</v>
      </c>
      <c r="M44" s="138">
        <f t="shared" si="20"/>
        <v>89912.544670260788</v>
      </c>
      <c r="N44" s="45">
        <f>$B$9*C44</f>
        <v>29987.401575197131</v>
      </c>
      <c r="O44" s="125">
        <f>D44+E44</f>
        <v>27988.241470183988</v>
      </c>
      <c r="P44" s="45">
        <f t="shared" si="12"/>
        <v>2417634.1985507249</v>
      </c>
      <c r="Q44" s="45">
        <f>IF(A44&lt;$H$5,SUMPRODUCT((P43+O44)*$I$4:$K$4,$I$11:$K$11),IF(A44&lt;$H$6,SUMPRODUCT((P43+O44)*$I$5:$K$5,$I$11:$K$11),IF(A44&lt;$H$7,SUMPRODUCT((P43+O44)*$I$6:$K$6,$I$11:$K$11),IF(A44&lt;$H$8,SUMPRODUCT((P43+O44)*$I$7:$K$7,$I$11:$K$11),IF(A44&lt;$H$9,SUMPRODUCT((P43+O44)*$I$8:$K$8,$I$11:$K$11),SUMPRODUCT((P43+O44)*$I$9:$K$9,$I$11:$K$11))))))</f>
        <v>164480.23904399158</v>
      </c>
      <c r="R44" s="45">
        <f>P44+K44</f>
        <v>3690711.4447613349</v>
      </c>
      <c r="S44" s="45">
        <f t="shared" si="4"/>
        <v>3739225.4373341473</v>
      </c>
      <c r="T44" s="45">
        <f t="shared" si="5"/>
        <v>41187.77054222185</v>
      </c>
      <c r="U44" s="155">
        <f t="shared" si="21"/>
        <v>2449545.4995977022</v>
      </c>
      <c r="V44" s="45">
        <f t="shared" si="13"/>
        <v>167635.78574930795</v>
      </c>
      <c r="W44" s="45">
        <f t="shared" si="6"/>
        <v>6140256.9443590371</v>
      </c>
      <c r="Y44" s="8">
        <v>93</v>
      </c>
      <c r="Z44" s="160">
        <f t="shared" si="14"/>
        <v>-1262381.1249550846</v>
      </c>
      <c r="AA44" s="160">
        <f t="shared" si="15"/>
        <v>584164.98565243359</v>
      </c>
      <c r="AB44" s="160">
        <f t="shared" si="7"/>
        <v>30000</v>
      </c>
      <c r="AC44" s="160">
        <f t="shared" si="16"/>
        <v>-6128.0637133741975</v>
      </c>
      <c r="AD44" s="160">
        <f t="shared" si="8"/>
        <v>-1870418.0468941443</v>
      </c>
    </row>
    <row r="45" spans="1:31" x14ac:dyDescent="0.3">
      <c r="A45" s="5">
        <f t="shared" si="0"/>
        <v>58</v>
      </c>
      <c r="B45" s="116">
        <v>28</v>
      </c>
      <c r="C45" s="45">
        <f t="shared" si="9"/>
        <v>205913.49081635365</v>
      </c>
      <c r="D45" s="45">
        <f t="shared" si="1"/>
        <v>16473.079265308294</v>
      </c>
      <c r="E45" s="45">
        <f>0.06*C45</f>
        <v>12354.809448981217</v>
      </c>
      <c r="F45" s="45" t="str">
        <f>IF(ISEVEN(A45), "YES", "NO")</f>
        <v>YES</v>
      </c>
      <c r="G45" s="45">
        <f t="shared" si="10"/>
        <v>1799.2440945118287</v>
      </c>
      <c r="H45" s="45">
        <f t="shared" si="17"/>
        <v>1799.2440945118287</v>
      </c>
      <c r="I45" s="45">
        <f t="shared" si="3"/>
        <v>19482.143320989213</v>
      </c>
      <c r="J45" s="45">
        <f t="shared" si="18"/>
        <v>94356.835435806759</v>
      </c>
      <c r="K45" s="45">
        <f t="shared" si="19"/>
        <v>1385116.9808728944</v>
      </c>
      <c r="L45" s="136">
        <f t="shared" si="11"/>
        <v>1438971.7389980336</v>
      </c>
      <c r="M45" s="138">
        <f t="shared" si="20"/>
        <v>97898.356893622069</v>
      </c>
      <c r="N45" s="45">
        <f>$B$9*C45</f>
        <v>30887.023622453045</v>
      </c>
      <c r="O45" s="125">
        <f>D45+E45</f>
        <v>28827.888714289511</v>
      </c>
      <c r="P45" s="45">
        <f t="shared" si="12"/>
        <v>2625053.81963536</v>
      </c>
      <c r="Q45" s="45">
        <f>IF(A45&lt;$H$5,SUMPRODUCT((P44+O45)*$I$4:$K$4,$I$11:$K$11),IF(A45&lt;$H$6,SUMPRODUCT((P44+O45)*$I$5:$K$5,$I$11:$K$11),IF(A45&lt;$H$7,SUMPRODUCT((P44+O45)*$I$6:$K$6,$I$11:$K$11),IF(A45&lt;$H$8,SUMPRODUCT((P44+O45)*$I$7:$K$7,$I$11:$K$11),IF(A45&lt;$H$9,SUMPRODUCT((P44+O45)*$I$8:$K$8,$I$11:$K$11),SUMPRODUCT((P44+O45)*$I$9:$K$9,$I$11:$K$11))))))</f>
        <v>178591.73237034603</v>
      </c>
      <c r="R45" s="45">
        <f>P45+K45</f>
        <v>4010170.8005082542</v>
      </c>
      <c r="S45" s="45">
        <f t="shared" si="4"/>
        <v>4064025.5586333936</v>
      </c>
      <c r="T45" s="45">
        <f t="shared" si="5"/>
        <v>42647.411037828999</v>
      </c>
      <c r="U45" s="155">
        <f t="shared" si="21"/>
        <v>2659828.6963848388</v>
      </c>
      <c r="V45" s="45">
        <f t="shared" si="13"/>
        <v>181930.08247639376</v>
      </c>
      <c r="W45" s="45">
        <f t="shared" si="6"/>
        <v>6669999.496893093</v>
      </c>
      <c r="Y45" s="8">
        <v>94</v>
      </c>
      <c r="Z45" s="160">
        <f t="shared" si="14"/>
        <v>-1926530.5883009688</v>
      </c>
      <c r="AA45" s="160">
        <f t="shared" si="15"/>
        <v>607531.58507853094</v>
      </c>
      <c r="AB45" s="160">
        <f t="shared" si="7"/>
        <v>30000</v>
      </c>
      <c r="AC45" s="160">
        <f t="shared" si="16"/>
        <v>-9352.090234470721</v>
      </c>
      <c r="AD45" s="160">
        <f t="shared" si="8"/>
        <v>-2554710.0831450289</v>
      </c>
    </row>
    <row r="46" spans="1:31" x14ac:dyDescent="0.3">
      <c r="A46" s="5">
        <f t="shared" si="0"/>
        <v>59</v>
      </c>
      <c r="B46" s="116">
        <v>29</v>
      </c>
      <c r="C46" s="45">
        <f t="shared" si="9"/>
        <v>212090.89554084427</v>
      </c>
      <c r="D46" s="45">
        <f t="shared" si="1"/>
        <v>16967.271643267541</v>
      </c>
      <c r="E46" s="45">
        <f>0.06*C46</f>
        <v>12725.453732450656</v>
      </c>
      <c r="F46" s="45" t="str">
        <f>IF(ISEVEN(A46), "YES", "NO")</f>
        <v>NO</v>
      </c>
      <c r="G46" s="45">
        <f t="shared" si="10"/>
        <v>1853.2214173471875</v>
      </c>
      <c r="H46" s="45">
        <f t="shared" si="17"/>
        <v>0</v>
      </c>
      <c r="I46" s="45">
        <f t="shared" si="3"/>
        <v>20301.815368926415</v>
      </c>
      <c r="J46" s="45">
        <f t="shared" si="18"/>
        <v>102595.57212565292</v>
      </c>
      <c r="K46" s="45">
        <f t="shared" si="19"/>
        <v>1508014.3683674738</v>
      </c>
      <c r="L46" s="136">
        <f t="shared" si="11"/>
        <v>1565800.523835748</v>
      </c>
      <c r="M46" s="138">
        <f t="shared" si="20"/>
        <v>106526.96946878807</v>
      </c>
      <c r="N46" s="45">
        <f>$B$9*C46</f>
        <v>31813.634331126639</v>
      </c>
      <c r="O46" s="125">
        <f>D46+E46</f>
        <v>29692.725375718197</v>
      </c>
      <c r="P46" s="45">
        <f t="shared" si="12"/>
        <v>2848543.0427968865</v>
      </c>
      <c r="Q46" s="45">
        <f>IF(A46&lt;$H$5,SUMPRODUCT((P45+O46)*$I$4:$K$4,$I$11:$K$11),IF(A46&lt;$H$6,SUMPRODUCT((P45+O46)*$I$5:$K$5,$I$11:$K$11),IF(A46&lt;$H$7,SUMPRODUCT((P45+O46)*$I$6:$K$6,$I$11:$K$11),IF(A46&lt;$H$8,SUMPRODUCT((P45+O46)*$I$7:$K$7,$I$11:$K$11),IF(A46&lt;$H$9,SUMPRODUCT((P45+O46)*$I$8:$K$8,$I$11:$K$11),SUMPRODUCT((P45+O46)*$I$9:$K$9,$I$11:$K$11))))))</f>
        <v>193796.49778580872</v>
      </c>
      <c r="R46" s="45">
        <f>P46+K46</f>
        <v>4356557.4111643601</v>
      </c>
      <c r="S46" s="45">
        <f t="shared" si="4"/>
        <v>4414343.566632634</v>
      </c>
      <c r="T46" s="45">
        <f t="shared" si="5"/>
        <v>44162.041117271394</v>
      </c>
      <c r="U46" s="155">
        <f t="shared" si="21"/>
        <v>2885920.819978504</v>
      </c>
      <c r="V46" s="45">
        <f t="shared" si="13"/>
        <v>197391.32383765402</v>
      </c>
      <c r="W46" s="45">
        <f t="shared" si="6"/>
        <v>7242478.2311428636</v>
      </c>
      <c r="Y46" s="8">
        <v>95</v>
      </c>
      <c r="Z46" s="160">
        <f t="shared" si="14"/>
        <v>-2631351.3856393797</v>
      </c>
      <c r="AA46" s="160">
        <f t="shared" si="15"/>
        <v>631832.84848167223</v>
      </c>
      <c r="AB46" s="160">
        <f t="shared" si="7"/>
        <v>30000</v>
      </c>
      <c r="AC46" s="160">
        <f t="shared" si="16"/>
        <v>-12773.550415725145</v>
      </c>
      <c r="AD46" s="160">
        <f t="shared" si="8"/>
        <v>-3280410.6837053271</v>
      </c>
    </row>
    <row r="47" spans="1:31" x14ac:dyDescent="0.3">
      <c r="A47" s="5">
        <f t="shared" si="0"/>
        <v>60</v>
      </c>
      <c r="B47" s="116">
        <v>30</v>
      </c>
      <c r="C47" s="45">
        <f t="shared" si="9"/>
        <v>218453.6224070696</v>
      </c>
      <c r="D47" s="45">
        <f t="shared" si="1"/>
        <v>17476.289792565567</v>
      </c>
      <c r="E47" s="45">
        <f>0.06*C47</f>
        <v>13107.217344424176</v>
      </c>
      <c r="F47" s="45" t="str">
        <f>IF(ISEVEN(A47), "YES", "NO")</f>
        <v>YES</v>
      </c>
      <c r="G47" s="45">
        <f t="shared" si="10"/>
        <v>1908.8180598675999</v>
      </c>
      <c r="H47" s="45">
        <f t="shared" si="17"/>
        <v>1908.8180598675999</v>
      </c>
      <c r="I47" s="45">
        <f t="shared" si="3"/>
        <v>21157.837965717095</v>
      </c>
      <c r="J47" s="45">
        <f t="shared" si="18"/>
        <v>111629.57106232294</v>
      </c>
      <c r="K47" s="45">
        <f t="shared" si="19"/>
        <v>1638892.9593356461</v>
      </c>
      <c r="L47" s="136">
        <f t="shared" si="11"/>
        <v>1702806.322212972</v>
      </c>
      <c r="M47" s="138">
        <f t="shared" si="20"/>
        <v>115847.96041150694</v>
      </c>
      <c r="N47" s="45">
        <f>$B$9*C47</f>
        <v>32768.043361060438</v>
      </c>
      <c r="O47" s="125">
        <f>D47+E47</f>
        <v>30583.507136989741</v>
      </c>
      <c r="P47" s="45">
        <f t="shared" si="12"/>
        <v>3089302.7880790494</v>
      </c>
      <c r="Q47" s="45">
        <f>IF(A47&lt;$H$5,SUMPRODUCT((P46+O47)*$I$4:$K$4,$I$11:$K$11),IF(A47&lt;$H$6,SUMPRODUCT((P46+O47)*$I$5:$K$5,$I$11:$K$11),IF(A47&lt;$H$7,SUMPRODUCT((P46+O47)*$I$6:$K$6,$I$11:$K$11),IF(A47&lt;$H$8,SUMPRODUCT((P46+O47)*$I$7:$K$7,$I$11:$K$11),IF(A47&lt;$H$9,SUMPRODUCT((P46+O47)*$I$8:$K$8,$I$11:$K$11),SUMPRODUCT((P46+O47)*$I$9:$K$9,$I$11:$K$11))))))</f>
        <v>210176.23814517297</v>
      </c>
      <c r="R47" s="45">
        <f>P47+K47</f>
        <v>4728195.7474146951</v>
      </c>
      <c r="S47" s="45">
        <f t="shared" si="4"/>
        <v>4792109.1102920212</v>
      </c>
      <c r="T47" s="45">
        <f t="shared" si="5"/>
        <v>45733.870486512424</v>
      </c>
      <c r="U47" s="155">
        <f t="shared" si="21"/>
        <v>3129046.0143026705</v>
      </c>
      <c r="V47" s="45">
        <f t="shared" si="13"/>
        <v>214010.79240394622</v>
      </c>
      <c r="W47" s="45">
        <f t="shared" si="6"/>
        <v>7857241.7617173661</v>
      </c>
      <c r="Y47" s="8">
        <v>96</v>
      </c>
      <c r="Z47" s="160">
        <f t="shared" si="14"/>
        <v>-3378823.0042164871</v>
      </c>
      <c r="AA47" s="160">
        <f t="shared" si="15"/>
        <v>657106.16242093919</v>
      </c>
      <c r="AB47" s="160">
        <f t="shared" si="7"/>
        <v>30000</v>
      </c>
      <c r="AC47" s="160">
        <f t="shared" si="16"/>
        <v>-16402.053418526637</v>
      </c>
      <c r="AD47" s="160">
        <f t="shared" si="8"/>
        <v>-4049527.1132188998</v>
      </c>
    </row>
    <row r="48" spans="1:31" x14ac:dyDescent="0.3">
      <c r="A48" s="5">
        <f t="shared" si="0"/>
        <v>61</v>
      </c>
      <c r="B48" s="116">
        <v>31</v>
      </c>
      <c r="C48" s="45">
        <f t="shared" si="9"/>
        <v>225007.23107928169</v>
      </c>
      <c r="D48" s="45">
        <f t="shared" si="1"/>
        <v>18000.578486342536</v>
      </c>
      <c r="E48" s="45">
        <f>0.06*C48</f>
        <v>13500.4338647569</v>
      </c>
      <c r="F48" s="45" t="str">
        <f>IF(ISEVEN(A48), "YES", "NO")</f>
        <v>NO</v>
      </c>
      <c r="G48" s="45">
        <f t="shared" si="10"/>
        <v>1966.0826016636245</v>
      </c>
      <c r="H48" s="45">
        <f t="shared" si="17"/>
        <v>0</v>
      </c>
      <c r="I48" s="45">
        <f t="shared" si="3"/>
        <v>22051.889647197655</v>
      </c>
      <c r="J48" s="45">
        <f t="shared" si="18"/>
        <v>96334.801241004941</v>
      </c>
      <c r="K48" s="45">
        <f t="shared" si="19"/>
        <v>1757279.6502238486</v>
      </c>
      <c r="L48" s="136">
        <f t="shared" si="11"/>
        <v>1824899.9881480595</v>
      </c>
      <c r="M48" s="138">
        <f t="shared" si="20"/>
        <v>100041.77628788985</v>
      </c>
      <c r="N48" s="45">
        <f>$B$9*C48</f>
        <v>33751.084661892251</v>
      </c>
      <c r="O48" s="125">
        <f>D48+E48</f>
        <v>31501.012351099438</v>
      </c>
      <c r="P48" s="45">
        <f t="shared" si="12"/>
        <v>3301810.4208550975</v>
      </c>
      <c r="Q48" s="45">
        <f>IF(A48&lt;$H$5,SUMPRODUCT((P47+O48)*$I$4:$K$4,$I$11:$K$11),IF(A48&lt;$H$6,SUMPRODUCT((P47+O48)*$I$5:$K$5,$I$11:$K$11),IF(A48&lt;$H$7,SUMPRODUCT((P47+O48)*$I$6:$K$6,$I$11:$K$11),IF(A48&lt;$H$8,SUMPRODUCT((P47+O48)*$I$7:$K$7,$I$11:$K$11),IF(A48&lt;$H$9,SUMPRODUCT((P47+O48)*$I$8:$K$8,$I$11:$K$11),SUMPRODUCT((P47+O48)*$I$9:$K$9,$I$11:$K$11))))))</f>
        <v>181006.62042494863</v>
      </c>
      <c r="R48" s="45">
        <f>P48+K48</f>
        <v>5059090.0710789459</v>
      </c>
      <c r="S48" s="45">
        <f t="shared" si="4"/>
        <v>5126710.4090031572</v>
      </c>
      <c r="T48" s="45">
        <f t="shared" si="5"/>
        <v>47365.203143616847</v>
      </c>
      <c r="U48" s="155">
        <f t="shared" si="21"/>
        <v>3390422.0098502333</v>
      </c>
      <c r="V48" s="45">
        <f t="shared" si="13"/>
        <v>184231.8506118847</v>
      </c>
      <c r="W48" s="45">
        <f t="shared" si="6"/>
        <v>8449512.0809291787</v>
      </c>
      <c r="Y48" s="8">
        <v>97</v>
      </c>
      <c r="Z48" s="160">
        <f t="shared" si="14"/>
        <v>-4171012.9266154668</v>
      </c>
      <c r="AA48" s="160">
        <f t="shared" si="15"/>
        <v>683390.40891777677</v>
      </c>
      <c r="AB48" s="160">
        <f t="shared" si="7"/>
        <v>30000</v>
      </c>
      <c r="AC48" s="160">
        <f t="shared" si="16"/>
        <v>-20247.635566094501</v>
      </c>
      <c r="AD48" s="160">
        <f t="shared" si="8"/>
        <v>-4864155.6999671487</v>
      </c>
    </row>
    <row r="49" spans="1:30" x14ac:dyDescent="0.3">
      <c r="A49" s="5">
        <f>A48+1</f>
        <v>62</v>
      </c>
      <c r="B49" s="116">
        <v>32</v>
      </c>
      <c r="C49" s="45">
        <f t="shared" si="9"/>
        <v>231757.44801166013</v>
      </c>
      <c r="D49" s="45">
        <f t="shared" si="1"/>
        <v>18540.595840932812</v>
      </c>
      <c r="E49" s="45">
        <f>0.06*C49</f>
        <v>13905.446880699608</v>
      </c>
      <c r="F49" s="45" t="str">
        <f>IF(ISEVEN(A49), "YES", "NO")</f>
        <v>YES</v>
      </c>
      <c r="G49" s="45">
        <f t="shared" si="10"/>
        <v>2025.065079713534</v>
      </c>
      <c r="H49" s="45">
        <f t="shared" si="17"/>
        <v>2025.065079713534</v>
      </c>
      <c r="I49" s="45">
        <f t="shared" si="3"/>
        <v>22985.728706248075</v>
      </c>
      <c r="J49" s="45">
        <f t="shared" si="18"/>
        <v>103255.39197794562</v>
      </c>
      <c r="K49" s="45">
        <f t="shared" si="19"/>
        <v>1881495.7058283288</v>
      </c>
      <c r="L49" s="136">
        <f t="shared" si="11"/>
        <v>1955063.0884318575</v>
      </c>
      <c r="M49" s="138">
        <f t="shared" si="20"/>
        <v>107177.37157754986</v>
      </c>
      <c r="N49" s="45">
        <f>$B$9*C49</f>
        <v>34763.617201749017</v>
      </c>
      <c r="O49" s="125">
        <f>D49+E49</f>
        <v>32446.042721632421</v>
      </c>
      <c r="P49" s="45">
        <f t="shared" si="12"/>
        <v>3527643.33846418</v>
      </c>
      <c r="Q49" s="45">
        <f>IF(A49&lt;$H$5,SUMPRODUCT((P48+O49)*$I$4:$K$4,$I$11:$K$11),IF(A49&lt;$H$6,SUMPRODUCT((P48+O49)*$I$5:$K$5,$I$11:$K$11),IF(A49&lt;$H$7,SUMPRODUCT((P48+O49)*$I$6:$K$6,$I$11:$K$11),IF(A49&lt;$H$8,SUMPRODUCT((P48+O49)*$I$7:$K$7,$I$11:$K$11),IF(A49&lt;$H$9,SUMPRODUCT((P48+O49)*$I$8:$K$8,$I$11:$K$11),SUMPRODUCT((P48+O49)*$I$9:$K$9,$I$11:$K$11))))))</f>
        <v>193386.87488745037</v>
      </c>
      <c r="R49" s="45">
        <f>P49+K49</f>
        <v>5409139.0442925086</v>
      </c>
      <c r="S49" s="45">
        <f t="shared" si="4"/>
        <v>5482706.4268960375</v>
      </c>
      <c r="T49" s="45">
        <f t="shared" si="5"/>
        <v>49058.441607559842</v>
      </c>
      <c r="U49" s="155">
        <f t="shared" si="21"/>
        <v>3623712.302069678</v>
      </c>
      <c r="V49" s="45">
        <f t="shared" si="13"/>
        <v>199489.86618455205</v>
      </c>
      <c r="W49" s="45">
        <f t="shared" si="6"/>
        <v>9032851.3463621866</v>
      </c>
      <c r="Y49" s="8">
        <v>98</v>
      </c>
      <c r="Z49" s="160">
        <f t="shared" si="14"/>
        <v>-5010080.3709661635</v>
      </c>
      <c r="AA49" s="160">
        <f t="shared" si="15"/>
        <v>710726.02527448791</v>
      </c>
      <c r="AB49" s="160">
        <f t="shared" si="7"/>
        <v>30000</v>
      </c>
      <c r="AC49" s="160">
        <f t="shared" si="16"/>
        <v>-24320.778499835746</v>
      </c>
      <c r="AD49" s="160">
        <f t="shared" si="8"/>
        <v>-5726485.6177408155</v>
      </c>
    </row>
    <row r="50" spans="1:30" x14ac:dyDescent="0.3">
      <c r="A50" s="5">
        <f t="shared" si="0"/>
        <v>63</v>
      </c>
      <c r="B50" s="116">
        <v>33</v>
      </c>
      <c r="C50" s="45">
        <f t="shared" si="9"/>
        <v>238710.17145200993</v>
      </c>
      <c r="D50" s="45">
        <f t="shared" si="1"/>
        <v>19096.813716160796</v>
      </c>
      <c r="E50" s="45">
        <f>0.06*C50</f>
        <v>14322.610287120595</v>
      </c>
      <c r="F50" s="45" t="str">
        <f>IF(ISEVEN(A50), "YES", "NO")</f>
        <v>NO</v>
      </c>
      <c r="G50" s="45">
        <f t="shared" si="10"/>
        <v>2085.8170321049402</v>
      </c>
      <c r="H50" s="45">
        <f t="shared" si="17"/>
        <v>0</v>
      </c>
      <c r="I50" s="45">
        <f t="shared" si="3"/>
        <v>23961.197055551733</v>
      </c>
      <c r="J50" s="45">
        <f t="shared" si="18"/>
        <v>110516.50036726508</v>
      </c>
      <c r="K50" s="45">
        <f t="shared" si="19"/>
        <v>2015973.4032511457</v>
      </c>
      <c r="L50" s="136">
        <f t="shared" si="11"/>
        <v>2093807.6940456789</v>
      </c>
      <c r="M50" s="138">
        <f t="shared" si="20"/>
        <v>114783.40855826974</v>
      </c>
      <c r="N50" s="45">
        <f>$B$9*C50</f>
        <v>35806.525717801487</v>
      </c>
      <c r="O50" s="125">
        <f>D50+E50</f>
        <v>33419.42400328139</v>
      </c>
      <c r="P50" s="45">
        <f t="shared" si="12"/>
        <v>3767604.4026905741</v>
      </c>
      <c r="Q50" s="45">
        <f>IF(A50&lt;$H$5,SUMPRODUCT((P49+O50)*$I$4:$K$4,$I$11:$K$11),IF(A50&lt;$H$6,SUMPRODUCT((P49+O50)*$I$5:$K$5,$I$11:$K$11),IF(A50&lt;$H$7,SUMPRODUCT((P49+O50)*$I$6:$K$6,$I$11:$K$11),IF(A50&lt;$H$8,SUMPRODUCT((P49+O50)*$I$7:$K$7,$I$11:$K$11),IF(A50&lt;$H$9,SUMPRODUCT((P49+O50)*$I$8:$K$8,$I$11:$K$11),SUMPRODUCT((P49+O50)*$I$9:$K$9,$I$11:$K$11))))))</f>
        <v>206541.64022311277</v>
      </c>
      <c r="R50" s="45">
        <f>P50+K50</f>
        <v>5783577.8059417196</v>
      </c>
      <c r="S50" s="45">
        <f t="shared" si="4"/>
        <v>5861412.0967362532</v>
      </c>
      <c r="T50" s="45">
        <f t="shared" si="5"/>
        <v>50816.091343902852</v>
      </c>
      <c r="U50" s="155">
        <f t="shared" si="21"/>
        <v>3874018.2595981332</v>
      </c>
      <c r="V50" s="45">
        <f t="shared" si="13"/>
        <v>213122.6468179877</v>
      </c>
      <c r="W50" s="45">
        <f t="shared" si="6"/>
        <v>9657596.0655398518</v>
      </c>
      <c r="Y50" s="8">
        <v>99</v>
      </c>
      <c r="Z50" s="160">
        <f t="shared" si="14"/>
        <v>-5898280.1862730402</v>
      </c>
      <c r="AA50" s="160">
        <f t="shared" si="15"/>
        <v>739155.06628546747</v>
      </c>
      <c r="AB50" s="160">
        <f t="shared" si="7"/>
        <v>30000</v>
      </c>
      <c r="AC50" s="160">
        <f t="shared" si="16"/>
        <v>-28632.428088704077</v>
      </c>
      <c r="AD50" s="160">
        <f t="shared" si="8"/>
        <v>-6638802.8244698038</v>
      </c>
    </row>
    <row r="51" spans="1:30" x14ac:dyDescent="0.3">
      <c r="A51" s="5">
        <f t="shared" si="0"/>
        <v>64</v>
      </c>
      <c r="B51" s="116">
        <v>34</v>
      </c>
      <c r="C51" s="45">
        <f t="shared" si="9"/>
        <v>245871.47659557025</v>
      </c>
      <c r="D51" s="45">
        <f t="shared" si="1"/>
        <v>19669.718127645621</v>
      </c>
      <c r="E51" s="45">
        <f>0.06*C51</f>
        <v>14752.288595734215</v>
      </c>
      <c r="F51" s="45" t="str">
        <f>IF(ISEVEN(A51), "YES", "NO")</f>
        <v>YES</v>
      </c>
      <c r="G51" s="45">
        <f t="shared" si="10"/>
        <v>2148.3915430680936</v>
      </c>
      <c r="H51" s="45">
        <f t="shared" si="17"/>
        <v>2148.3915430680936</v>
      </c>
      <c r="I51" s="45">
        <f t="shared" si="3"/>
        <v>24980.224279740312</v>
      </c>
      <c r="J51" s="45">
        <f t="shared" si="18"/>
        <v>118375.31039679141</v>
      </c>
      <c r="K51" s="45">
        <f t="shared" si="19"/>
        <v>2157180.5463846093</v>
      </c>
      <c r="L51" s="136">
        <f t="shared" si="11"/>
        <v>2241677.6175882937</v>
      </c>
      <c r="M51" s="138">
        <f t="shared" si="20"/>
        <v>122889.69926287433</v>
      </c>
      <c r="N51" s="45">
        <f>$B$9*C51</f>
        <v>36880.721489335534</v>
      </c>
      <c r="O51" s="125">
        <f>D51+E51</f>
        <v>34422.006723379833</v>
      </c>
      <c r="P51" s="45">
        <f t="shared" si="12"/>
        <v>4022543.9411599631</v>
      </c>
      <c r="Q51" s="45">
        <f>IF(A51&lt;$H$5,SUMPRODUCT((P50+O51)*$I$4:$K$4,$I$11:$K$11),IF(A51&lt;$H$6,SUMPRODUCT((P50+O51)*$I$5:$K$5,$I$11:$K$11),IF(A51&lt;$H$7,SUMPRODUCT((P50+O51)*$I$6:$K$6,$I$11:$K$11),IF(A51&lt;$H$8,SUMPRODUCT((P50+O51)*$I$7:$K$7,$I$11:$K$11),IF(A51&lt;$H$9,SUMPRODUCT((P50+O51)*$I$8:$K$8,$I$11:$K$11),SUMPRODUCT((P50+O51)*$I$9:$K$9,$I$11:$K$11))))))</f>
        <v>220517.53174600936</v>
      </c>
      <c r="R51" s="45">
        <f>P51+K51</f>
        <v>6179724.487544572</v>
      </c>
      <c r="S51" s="45">
        <f t="shared" si="4"/>
        <v>6264221.5587482564</v>
      </c>
      <c r="T51" s="45">
        <f t="shared" si="5"/>
        <v>52640.765396741961</v>
      </c>
      <c r="U51" s="155">
        <f t="shared" si="21"/>
        <v>4139781.6718128631</v>
      </c>
      <c r="V51" s="45">
        <f t="shared" si="13"/>
        <v>227746.22344970278</v>
      </c>
      <c r="W51" s="45">
        <f t="shared" si="6"/>
        <v>10319506.159357436</v>
      </c>
      <c r="Y51" s="8">
        <v>100</v>
      </c>
      <c r="Z51" s="160">
        <f t="shared" si="14"/>
        <v>-6837966.9092038982</v>
      </c>
      <c r="AA51" s="160">
        <f t="shared" si="15"/>
        <v>768721.26893688622</v>
      </c>
      <c r="AB51" s="160">
        <f t="shared" si="7"/>
        <v>30000</v>
      </c>
      <c r="AC51" s="160">
        <f t="shared" si="16"/>
        <v>-33194.014122349021</v>
      </c>
      <c r="AD51" s="160">
        <f t="shared" si="8"/>
        <v>-7603494.1640184354</v>
      </c>
    </row>
    <row r="52" spans="1:30" x14ac:dyDescent="0.3">
      <c r="A52" s="5">
        <f t="shared" si="0"/>
        <v>65</v>
      </c>
      <c r="B52" s="116">
        <v>35</v>
      </c>
      <c r="C52" s="45">
        <f t="shared" si="9"/>
        <v>253247.62089343736</v>
      </c>
      <c r="D52" s="45">
        <f t="shared" si="1"/>
        <v>20259.809671474988</v>
      </c>
      <c r="E52" s="45">
        <f>0.06*C52</f>
        <v>15194.85725360624</v>
      </c>
      <c r="F52" s="45" t="str">
        <f>IF(ISEVEN(A52), "YES", "NO")</f>
        <v>NO</v>
      </c>
      <c r="G52" s="45">
        <f t="shared" si="10"/>
        <v>2212.8432893601334</v>
      </c>
      <c r="H52" s="45">
        <f t="shared" si="17"/>
        <v>0</v>
      </c>
      <c r="I52" s="45">
        <f t="shared" si="3"/>
        <v>26044.831886280655</v>
      </c>
      <c r="J52" s="45">
        <f t="shared" si="18"/>
        <v>126627.07193971163</v>
      </c>
      <c r="K52" s="45">
        <f t="shared" si="19"/>
        <v>2309852.4502106016</v>
      </c>
      <c r="L52" s="136">
        <f t="shared" si="11"/>
        <v>2399250.3515440999</v>
      </c>
      <c r="M52" s="138">
        <f t="shared" si="20"/>
        <v>131527.90206952533</v>
      </c>
      <c r="N52" s="45">
        <f>$B$9*C52</f>
        <v>37987.143134015605</v>
      </c>
      <c r="O52" s="125">
        <f>D52+E52</f>
        <v>35454.666925081227</v>
      </c>
      <c r="P52" s="45">
        <f t="shared" si="12"/>
        <v>4293362.5273539769</v>
      </c>
      <c r="Q52" s="45">
        <f>IF(A52&lt;$H$5,SUMPRODUCT((P51+O52)*$I$4:$K$4,$I$11:$K$11),IF(A52&lt;$H$6,SUMPRODUCT((P51+O52)*$I$5:$K$5,$I$11:$K$11),IF(A52&lt;$H$7,SUMPRODUCT((P51+O52)*$I$6:$K$6,$I$11:$K$11),IF(A52&lt;$H$8,SUMPRODUCT((P51+O52)*$I$7:$K$7,$I$11:$K$11),IF(A52&lt;$H$9,SUMPRODUCT((P51+O52)*$I$8:$K$8,$I$11:$K$11),SUMPRODUCT((P51+O52)*$I$9:$K$9,$I$11:$K$11))))))</f>
        <v>235363.9192689326</v>
      </c>
      <c r="R52" s="45">
        <f>P52+K52</f>
        <v>6603214.9775645789</v>
      </c>
      <c r="S52" s="45">
        <f t="shared" si="4"/>
        <v>6692612.8788980767</v>
      </c>
      <c r="T52" s="45">
        <f t="shared" si="5"/>
        <v>54535.189236792357</v>
      </c>
      <c r="U52" s="155">
        <f t="shared" si="21"/>
        <v>4422063.0844993582</v>
      </c>
      <c r="V52" s="45">
        <f t="shared" si="13"/>
        <v>243270.37794088005</v>
      </c>
      <c r="W52" s="45">
        <f t="shared" si="6"/>
        <v>11025278.062063936</v>
      </c>
      <c r="Y52" s="8">
        <v>101</v>
      </c>
      <c r="Z52" s="160">
        <f t="shared" si="14"/>
        <v>-7831598.9889389891</v>
      </c>
      <c r="AA52" s="160">
        <f t="shared" si="15"/>
        <v>799470.1196943617</v>
      </c>
      <c r="AB52" s="160">
        <f t="shared" si="7"/>
        <v>30000</v>
      </c>
      <c r="AC52" s="160">
        <f t="shared" si="16"/>
        <v>-38017.470820092181</v>
      </c>
      <c r="AD52" s="160">
        <f t="shared" si="8"/>
        <v>-8623051.6378132589</v>
      </c>
    </row>
    <row r="53" spans="1:30" x14ac:dyDescent="0.3">
      <c r="H53" s="135">
        <f>SUM(H17:H52)</f>
        <v>23726.249393118815</v>
      </c>
      <c r="P53" s="3"/>
      <c r="Q53" s="135"/>
      <c r="R53" s="135"/>
    </row>
    <row r="55" spans="1:30" ht="15.6" x14ac:dyDescent="0.3">
      <c r="F55" s="11" t="s">
        <v>45</v>
      </c>
    </row>
    <row r="56" spans="1:30" ht="23.4" x14ac:dyDescent="0.45">
      <c r="E56" s="140" t="s">
        <v>99</v>
      </c>
      <c r="F56" s="139"/>
      <c r="G56" s="139"/>
      <c r="H56" s="139"/>
      <c r="I56" s="139"/>
      <c r="J56" s="139"/>
      <c r="K56" s="139"/>
      <c r="L56" s="139"/>
      <c r="M56" s="139"/>
      <c r="N56" s="139"/>
    </row>
    <row r="57" spans="1:30" ht="23.4" thickBot="1" x14ac:dyDescent="0.45">
      <c r="E57" s="145" t="s">
        <v>47</v>
      </c>
      <c r="F57" s="145"/>
      <c r="G57" s="145"/>
      <c r="H57" s="145"/>
      <c r="I57" s="145"/>
      <c r="J57" s="145"/>
      <c r="K57" s="145"/>
      <c r="L57" s="145"/>
      <c r="M57" s="145"/>
      <c r="N57" s="145"/>
      <c r="O57" s="123"/>
      <c r="P57" s="123"/>
      <c r="Q57" s="123"/>
      <c r="R57" s="123"/>
      <c r="S57" s="123"/>
      <c r="T57" s="123"/>
      <c r="U57" s="123"/>
      <c r="V57" s="123"/>
      <c r="W57" s="123"/>
    </row>
    <row r="58" spans="1:30" x14ac:dyDescent="0.3">
      <c r="D58" s="146" t="s">
        <v>46</v>
      </c>
      <c r="E58" s="12">
        <f>R52</f>
        <v>6603214.9775645789</v>
      </c>
      <c r="F58" s="13">
        <v>0.02</v>
      </c>
      <c r="G58" s="13">
        <v>0.03</v>
      </c>
      <c r="H58" s="13">
        <v>0.04</v>
      </c>
      <c r="I58" s="13">
        <v>0.05</v>
      </c>
      <c r="J58" s="13">
        <v>0.06</v>
      </c>
      <c r="K58" s="13">
        <v>7.0000000000000007E-2</v>
      </c>
      <c r="L58" s="13">
        <v>0.08</v>
      </c>
      <c r="M58" s="13">
        <v>0.09</v>
      </c>
      <c r="N58" s="129">
        <v>0.1</v>
      </c>
      <c r="O58" s="131"/>
      <c r="P58" s="131"/>
      <c r="Q58" s="131"/>
      <c r="R58" s="131"/>
      <c r="S58" s="131"/>
      <c r="T58" s="127"/>
      <c r="U58" s="127"/>
      <c r="V58" s="127"/>
      <c r="W58" s="127"/>
    </row>
    <row r="59" spans="1:30" x14ac:dyDescent="0.3">
      <c r="D59" s="146"/>
      <c r="E59" s="14">
        <v>0.04</v>
      </c>
      <c r="F59" s="15">
        <f t="dataTable" ref="F59:N64" dt2D="1" dtr="1" r1="B7" r2="I11" ca="1"/>
        <v>2410066.2342421566</v>
      </c>
      <c r="G59" s="15">
        <v>2669970.35586101</v>
      </c>
      <c r="H59" s="15">
        <v>2990420.3394969972</v>
      </c>
      <c r="I59" s="15">
        <v>3388195.6842531492</v>
      </c>
      <c r="J59" s="15">
        <v>3897422.410541622</v>
      </c>
      <c r="K59" s="15">
        <v>4549551.7778950976</v>
      </c>
      <c r="L59" s="15">
        <v>5380615.8377722651</v>
      </c>
      <c r="M59" s="15">
        <v>6437077.765062606</v>
      </c>
      <c r="N59" s="17">
        <v>7779274.7626328636</v>
      </c>
      <c r="O59" s="132"/>
      <c r="P59" s="132"/>
      <c r="Q59" s="132"/>
      <c r="R59" s="132"/>
      <c r="S59" s="132"/>
      <c r="T59" s="128"/>
      <c r="U59" s="128"/>
      <c r="V59" s="128"/>
      <c r="W59" s="128"/>
    </row>
    <row r="60" spans="1:30" x14ac:dyDescent="0.3">
      <c r="D60" s="146"/>
      <c r="E60" s="14">
        <v>0.06</v>
      </c>
      <c r="F60" s="15">
        <v>3227236.7230132613</v>
      </c>
      <c r="G60" s="16">
        <v>3530742.9779491923</v>
      </c>
      <c r="H60" s="15">
        <v>3901377.4331182214</v>
      </c>
      <c r="I60" s="15">
        <v>4357170.5032853503</v>
      </c>
      <c r="J60" s="15">
        <v>4934286.0870579081</v>
      </c>
      <c r="K60" s="15">
        <v>5667180.7678804407</v>
      </c>
      <c r="L60" s="15">
        <v>6594992.9565437073</v>
      </c>
      <c r="M60" s="15">
        <v>7767405.5536344163</v>
      </c>
      <c r="N60" s="17">
        <v>9248480.9034298994</v>
      </c>
      <c r="O60" s="132"/>
      <c r="P60" s="132"/>
      <c r="Q60" s="132"/>
      <c r="R60" s="132"/>
      <c r="S60" s="132"/>
      <c r="T60" s="128"/>
      <c r="U60" s="128"/>
      <c r="V60" s="128"/>
      <c r="W60" s="128"/>
    </row>
    <row r="61" spans="1:30" ht="15" thickBot="1" x14ac:dyDescent="0.35">
      <c r="D61" s="146"/>
      <c r="E61" s="14">
        <v>0.08</v>
      </c>
      <c r="F61" s="17">
        <v>4419634.5428715404</v>
      </c>
      <c r="G61" s="133">
        <v>4778569.4758058321</v>
      </c>
      <c r="H61" s="18">
        <v>5212461.3511225097</v>
      </c>
      <c r="I61" s="18">
        <v>5740765.5499104904</v>
      </c>
      <c r="J61" s="15">
        <v>6401911.4788043359</v>
      </c>
      <c r="K61" s="15">
        <v>7233748.7815138716</v>
      </c>
      <c r="L61" s="15">
        <v>8279028.0816545011</v>
      </c>
      <c r="M61" s="15">
        <v>9591150.7936836891</v>
      </c>
      <c r="N61" s="17">
        <v>11238389.953903204</v>
      </c>
      <c r="O61" s="132"/>
      <c r="P61" s="132"/>
      <c r="Q61" s="132"/>
      <c r="R61" s="132"/>
      <c r="S61" s="132"/>
      <c r="T61" s="128"/>
      <c r="U61" s="128"/>
      <c r="V61" s="128"/>
      <c r="W61" s="128"/>
    </row>
    <row r="62" spans="1:30" ht="15" thickBot="1" x14ac:dyDescent="0.35">
      <c r="D62" s="146"/>
      <c r="E62" s="14">
        <v>0.1</v>
      </c>
      <c r="F62" s="17">
        <v>6173114.8016211186</v>
      </c>
      <c r="G62" s="134">
        <v>6603214.9775645789</v>
      </c>
      <c r="H62" s="18">
        <v>7117654.4363350365</v>
      </c>
      <c r="I62" s="15">
        <v>7737520.8832955211</v>
      </c>
      <c r="J62" s="15">
        <v>8503775.8201794866</v>
      </c>
      <c r="K62" s="15">
        <v>9458109.9018291179</v>
      </c>
      <c r="L62" s="15">
        <v>10647488.836077925</v>
      </c>
      <c r="M62" s="15">
        <v>12129642.841609275</v>
      </c>
      <c r="N62" s="17">
        <v>13977645.220250927</v>
      </c>
      <c r="O62" s="132"/>
      <c r="P62" s="132"/>
      <c r="Q62" s="132"/>
      <c r="R62" s="132"/>
      <c r="S62" s="132"/>
      <c r="T62" s="128"/>
      <c r="U62" s="128"/>
      <c r="V62" s="128"/>
      <c r="W62" s="128"/>
    </row>
    <row r="63" spans="1:30" x14ac:dyDescent="0.3">
      <c r="D63" s="146"/>
      <c r="E63" s="14">
        <v>0.12</v>
      </c>
      <c r="F63" s="15">
        <v>8766404.356986668</v>
      </c>
      <c r="G63" s="19">
        <v>9288731.3123935051</v>
      </c>
      <c r="H63" s="15">
        <v>9906727.1273092795</v>
      </c>
      <c r="I63" s="15">
        <v>10643360.00269499</v>
      </c>
      <c r="J63" s="15">
        <v>11542437.449271504</v>
      </c>
      <c r="K63" s="15">
        <v>12650010.402270714</v>
      </c>
      <c r="L63" s="15">
        <v>14017978.754026931</v>
      </c>
      <c r="M63" s="15">
        <v>15709150.234266359</v>
      </c>
      <c r="N63" s="17">
        <v>17802119.356495474</v>
      </c>
      <c r="O63" s="132"/>
      <c r="P63" s="132"/>
      <c r="Q63" s="132"/>
      <c r="R63" s="132"/>
      <c r="S63" s="132"/>
      <c r="T63" s="128"/>
      <c r="U63" s="128"/>
      <c r="V63" s="128"/>
      <c r="W63" s="128"/>
    </row>
    <row r="64" spans="1:30" ht="15" thickBot="1" x14ac:dyDescent="0.35">
      <c r="D64" s="146"/>
      <c r="E64" s="20">
        <v>0.15</v>
      </c>
      <c r="F64" s="21">
        <v>15197346.671186648</v>
      </c>
      <c r="G64" s="21">
        <v>15914122.361721437</v>
      </c>
      <c r="H64" s="21">
        <v>16748358.701261457</v>
      </c>
      <c r="I64" s="21">
        <v>17726422.849117167</v>
      </c>
      <c r="J64" s="21">
        <v>18897109.643169817</v>
      </c>
      <c r="K64" s="21">
        <v>20314174.019010101</v>
      </c>
      <c r="L64" s="21">
        <v>22038577.75334416</v>
      </c>
      <c r="M64" s="21">
        <v>24142535.394062489</v>
      </c>
      <c r="N64" s="130">
        <v>26714650.485470332</v>
      </c>
      <c r="O64" s="132"/>
      <c r="P64" s="132"/>
      <c r="Q64" s="132"/>
      <c r="R64" s="132"/>
      <c r="S64" s="132"/>
      <c r="T64" s="128"/>
      <c r="U64" s="128"/>
      <c r="V64" s="128"/>
      <c r="W64" s="128"/>
    </row>
    <row r="66" spans="4:14" ht="23.4" x14ac:dyDescent="0.45">
      <c r="E66" s="140" t="s">
        <v>100</v>
      </c>
      <c r="F66" s="140"/>
      <c r="G66" s="140"/>
      <c r="H66" s="140"/>
      <c r="I66" s="140"/>
      <c r="J66" s="140"/>
      <c r="K66" s="140"/>
      <c r="L66" s="140"/>
      <c r="M66" s="140"/>
      <c r="N66" s="140"/>
    </row>
    <row r="67" spans="4:14" ht="22.8" x14ac:dyDescent="0.4">
      <c r="E67" s="142" t="s">
        <v>47</v>
      </c>
      <c r="F67" s="142"/>
      <c r="G67" s="142"/>
      <c r="H67" s="142"/>
      <c r="I67" s="142"/>
      <c r="J67" s="142"/>
      <c r="K67" s="142"/>
      <c r="L67" s="142"/>
      <c r="M67" s="142"/>
      <c r="N67" s="142"/>
    </row>
    <row r="68" spans="4:14" x14ac:dyDescent="0.3">
      <c r="E68" s="147">
        <f>S52</f>
        <v>6692612.8788980767</v>
      </c>
      <c r="F68" s="148">
        <v>0.02</v>
      </c>
      <c r="G68" s="148">
        <v>0.03</v>
      </c>
      <c r="H68" s="148">
        <v>0.04</v>
      </c>
      <c r="I68" s="148">
        <v>0.05</v>
      </c>
      <c r="J68" s="148">
        <v>0.06</v>
      </c>
      <c r="K68" s="148">
        <v>7.0000000000000007E-2</v>
      </c>
      <c r="L68" s="148">
        <v>0.08</v>
      </c>
      <c r="M68" s="148">
        <v>0.09</v>
      </c>
      <c r="N68" s="148">
        <v>0.1</v>
      </c>
    </row>
    <row r="69" spans="4:14" x14ac:dyDescent="0.3">
      <c r="D69" s="144" t="s">
        <v>46</v>
      </c>
      <c r="E69" s="148">
        <v>0.04</v>
      </c>
      <c r="F69" s="149">
        <f t="dataTable" ref="F69:N74" dt2D="1" dtr="1" r1="B7" r2="I11" ca="1"/>
        <v>2434576.2290979158</v>
      </c>
      <c r="G69" s="149">
        <v>2712810.8967313417</v>
      </c>
      <c r="H69" s="149">
        <v>3057483.3300359743</v>
      </c>
      <c r="I69" s="149">
        <v>3486420.8533429941</v>
      </c>
      <c r="J69" s="149">
        <v>4022440.3793412391</v>
      </c>
      <c r="K69" s="149">
        <v>4694757.367994098</v>
      </c>
      <c r="L69" s="149">
        <v>5540789.1025020154</v>
      </c>
      <c r="M69" s="149">
        <v>6608460.4747864995</v>
      </c>
      <c r="N69" s="149">
        <v>7959149.3657118119</v>
      </c>
    </row>
    <row r="70" spans="4:14" x14ac:dyDescent="0.3">
      <c r="D70" s="144"/>
      <c r="E70" s="148">
        <v>0.06</v>
      </c>
      <c r="F70" s="149">
        <v>3258458.0694296691</v>
      </c>
      <c r="G70" s="149">
        <v>3584584.4966263603</v>
      </c>
      <c r="H70" s="149">
        <v>3984534.5380916558</v>
      </c>
      <c r="I70" s="149">
        <v>4477553.5504626129</v>
      </c>
      <c r="J70" s="149">
        <v>5088180.3472268712</v>
      </c>
      <c r="K70" s="149">
        <v>5847725.0447914563</v>
      </c>
      <c r="L70" s="149">
        <v>6796157.2530163061</v>
      </c>
      <c r="M70" s="149">
        <v>7984516.5573440427</v>
      </c>
      <c r="N70" s="149">
        <v>9477987.0065858159</v>
      </c>
    </row>
    <row r="71" spans="4:14" ht="15" thickBot="1" x14ac:dyDescent="0.35">
      <c r="D71" s="144"/>
      <c r="E71" s="148">
        <v>0.08</v>
      </c>
      <c r="F71" s="149">
        <v>4460067.1072979365</v>
      </c>
      <c r="G71" s="152">
        <v>4847397.3059682753</v>
      </c>
      <c r="H71" s="149">
        <v>5317372.2692962298</v>
      </c>
      <c r="I71" s="149">
        <v>5890858.5980643798</v>
      </c>
      <c r="J71" s="149">
        <v>6594353.6236335114</v>
      </c>
      <c r="K71" s="149">
        <v>7461538.1208187602</v>
      </c>
      <c r="L71" s="149">
        <v>8535256.5155363455</v>
      </c>
      <c r="M71" s="149">
        <v>9870040.5050406735</v>
      </c>
      <c r="N71" s="149">
        <v>11535322.691585472</v>
      </c>
    </row>
    <row r="72" spans="4:14" ht="15" thickBot="1" x14ac:dyDescent="0.35">
      <c r="D72" s="144"/>
      <c r="E72" s="148">
        <v>0.1</v>
      </c>
      <c r="F72" s="150">
        <v>6226276.125356419</v>
      </c>
      <c r="G72" s="154">
        <v>6692612.8788980767</v>
      </c>
      <c r="H72" s="151">
        <v>7252213.2476674113</v>
      </c>
      <c r="I72" s="149">
        <v>7927807.9808791652</v>
      </c>
      <c r="J72" s="149">
        <v>8748134.4328090549</v>
      </c>
      <c r="K72" s="149">
        <v>9749570.8790928125</v>
      </c>
      <c r="L72" s="149">
        <v>10978216.718569353</v>
      </c>
      <c r="M72" s="149">
        <v>12492538.684151301</v>
      </c>
      <c r="N72" s="149">
        <v>14366734.83030878</v>
      </c>
    </row>
    <row r="73" spans="4:14" x14ac:dyDescent="0.3">
      <c r="D73" s="144"/>
      <c r="E73" s="148">
        <v>0.12</v>
      </c>
      <c r="F73" s="149">
        <v>8837253.2566665355</v>
      </c>
      <c r="G73" s="153">
        <v>9406540.7647347581</v>
      </c>
      <c r="H73" s="149">
        <v>10081975.082251411</v>
      </c>
      <c r="I73" s="149">
        <v>10888442.808075842</v>
      </c>
      <c r="J73" s="149">
        <v>11857257.787725743</v>
      </c>
      <c r="K73" s="149">
        <v>13027884.644065432</v>
      </c>
      <c r="L73" s="149">
        <v>14450127.957709182</v>
      </c>
      <c r="M73" s="149">
        <v>16186911.682306735</v>
      </c>
      <c r="N73" s="149">
        <v>18317806.033474933</v>
      </c>
    </row>
    <row r="74" spans="4:14" x14ac:dyDescent="0.3">
      <c r="D74" s="144"/>
      <c r="E74" s="148">
        <v>0.15</v>
      </c>
      <c r="F74" s="149">
        <v>15308709.404108403</v>
      </c>
      <c r="G74" s="149">
        <v>16096570.230062431</v>
      </c>
      <c r="H74" s="149">
        <v>17015514.861262593</v>
      </c>
      <c r="I74" s="149">
        <v>18094346.092088271</v>
      </c>
      <c r="J74" s="149">
        <v>19369025.299300622</v>
      </c>
      <c r="K74" s="149">
        <v>20884546.322843</v>
      </c>
      <c r="L74" s="149">
        <v>22697307.552554674</v>
      </c>
      <c r="M74" s="149">
        <v>24878114.030478641</v>
      </c>
      <c r="N74" s="149">
        <v>27515975.645299248</v>
      </c>
    </row>
    <row r="76" spans="4:14" ht="23.4" x14ac:dyDescent="0.45">
      <c r="E76" s="140" t="s">
        <v>105</v>
      </c>
      <c r="F76" s="139"/>
      <c r="G76" s="139"/>
      <c r="H76" s="139"/>
      <c r="I76" s="139"/>
      <c r="J76" s="139"/>
      <c r="K76" s="139"/>
      <c r="L76" s="139"/>
      <c r="M76" s="139"/>
      <c r="N76" s="139"/>
    </row>
    <row r="77" spans="4:14" ht="23.4" x14ac:dyDescent="0.45">
      <c r="E77" s="141" t="s">
        <v>47</v>
      </c>
      <c r="F77" s="141"/>
      <c r="G77" s="141"/>
      <c r="H77" s="141"/>
      <c r="I77" s="141"/>
      <c r="J77" s="141"/>
      <c r="K77" s="141"/>
      <c r="L77" s="141"/>
      <c r="M77" s="141"/>
      <c r="N77" s="141"/>
    </row>
    <row r="78" spans="4:14" x14ac:dyDescent="0.3">
      <c r="E78" s="147">
        <f>W52</f>
        <v>11025278.062063936</v>
      </c>
      <c r="F78" s="148">
        <v>0.02</v>
      </c>
      <c r="G78" s="148">
        <v>0.03</v>
      </c>
      <c r="H78" s="148">
        <v>0.04</v>
      </c>
      <c r="I78" s="148">
        <v>0.05</v>
      </c>
      <c r="J78" s="148">
        <v>0.06</v>
      </c>
      <c r="K78" s="148">
        <v>7.0000000000000007E-2</v>
      </c>
      <c r="L78" s="148">
        <v>0.08</v>
      </c>
      <c r="M78" s="148">
        <v>0.09</v>
      </c>
      <c r="N78" s="148">
        <v>0.1</v>
      </c>
    </row>
    <row r="79" spans="4:14" x14ac:dyDescent="0.3">
      <c r="D79" s="144" t="s">
        <v>46</v>
      </c>
      <c r="E79" s="148">
        <v>0.04</v>
      </c>
      <c r="F79" s="149">
        <f t="dataTable" ref="F79:N84" dt2D="1" dtr="1" r1="B7" r2="I11"/>
        <v>4297384.6547890026</v>
      </c>
      <c r="G79" s="149">
        <v>4781455.0943739749</v>
      </c>
      <c r="H79" s="149">
        <v>5379858.1243108734</v>
      </c>
      <c r="I79" s="149">
        <v>6123845.9811220309</v>
      </c>
      <c r="J79" s="149">
        <v>7066075.0970718358</v>
      </c>
      <c r="K79" s="149">
        <v>8261731.9395292886</v>
      </c>
      <c r="L79" s="149">
        <v>9777256.9827718753</v>
      </c>
      <c r="M79" s="149">
        <v>11698072.965499468</v>
      </c>
      <c r="N79" s="149">
        <v>14134427.004826365</v>
      </c>
    </row>
    <row r="80" spans="4:14" x14ac:dyDescent="0.3">
      <c r="D80" s="144"/>
      <c r="E80" s="148">
        <v>0.06</v>
      </c>
      <c r="F80" s="149">
        <v>5636728.0256244298</v>
      </c>
      <c r="G80" s="149">
        <v>6197672.9792203084</v>
      </c>
      <c r="H80" s="149">
        <v>6884591.4719304154</v>
      </c>
      <c r="I80" s="149">
        <v>7730937.8597272439</v>
      </c>
      <c r="J80" s="149">
        <v>8792556.225607207</v>
      </c>
      <c r="K80" s="149">
        <v>10129030.373562491</v>
      </c>
      <c r="L80" s="149">
        <v>11811594.885537641</v>
      </c>
      <c r="M80" s="149">
        <v>13930941.248205449</v>
      </c>
      <c r="N80" s="149">
        <v>16603532.313178774</v>
      </c>
    </row>
    <row r="81" spans="4:14" ht="15" thickBot="1" x14ac:dyDescent="0.35">
      <c r="D81" s="144"/>
      <c r="E81" s="148">
        <v>0.08</v>
      </c>
      <c r="F81" s="149">
        <v>7536161.8030495513</v>
      </c>
      <c r="G81" s="152">
        <v>8193101.7109886426</v>
      </c>
      <c r="H81" s="149">
        <v>8989663.8554921374</v>
      </c>
      <c r="I81" s="149">
        <v>9961782.4034375437</v>
      </c>
      <c r="J81" s="149">
        <v>11168836.620073799</v>
      </c>
      <c r="K81" s="149">
        <v>12675334.305605222</v>
      </c>
      <c r="L81" s="149">
        <v>14557971.197367135</v>
      </c>
      <c r="M81" s="149">
        <v>16913393.609817181</v>
      </c>
      <c r="N81" s="149">
        <v>19864983.576208375</v>
      </c>
    </row>
    <row r="82" spans="4:14" ht="15" thickBot="1" x14ac:dyDescent="0.35">
      <c r="D82" s="144"/>
      <c r="E82" s="148">
        <v>0.1</v>
      </c>
      <c r="F82" s="150">
        <v>10247542.902539665</v>
      </c>
      <c r="G82" s="154">
        <v>11025278.062063936</v>
      </c>
      <c r="H82" s="151">
        <v>11958734.018265259</v>
      </c>
      <c r="I82" s="149">
        <v>13086649.618382636</v>
      </c>
      <c r="J82" s="149">
        <v>14472341.357000045</v>
      </c>
      <c r="K82" s="149">
        <v>16185845.377320047</v>
      </c>
      <c r="L82" s="149">
        <v>18310102.283739436</v>
      </c>
      <c r="M82" s="149">
        <v>20948532.915877372</v>
      </c>
      <c r="N82" s="149">
        <v>24232270.881746188</v>
      </c>
    </row>
    <row r="83" spans="4:14" x14ac:dyDescent="0.3">
      <c r="D83" s="144"/>
      <c r="E83" s="148">
        <v>0.12</v>
      </c>
      <c r="F83" s="149">
        <v>14137625.710506361</v>
      </c>
      <c r="G83" s="153">
        <v>15068477.541522086</v>
      </c>
      <c r="H83" s="149">
        <v>16174151.840521336</v>
      </c>
      <c r="I83" s="149">
        <v>17496573.658079602</v>
      </c>
      <c r="J83" s="149">
        <v>19103463.808851514</v>
      </c>
      <c r="K83" s="149">
        <v>21071082.284858085</v>
      </c>
      <c r="L83" s="149">
        <v>23489536.744284622</v>
      </c>
      <c r="M83" s="149">
        <v>26470005.638760485</v>
      </c>
      <c r="N83" s="149">
        <v>30152365.983343042</v>
      </c>
    </row>
    <row r="84" spans="4:14" x14ac:dyDescent="0.3">
      <c r="D84" s="144"/>
      <c r="E84" s="148">
        <v>0.15</v>
      </c>
      <c r="F84" s="149">
        <v>23414293.409255613</v>
      </c>
      <c r="G84" s="149">
        <v>24658160.212329037</v>
      </c>
      <c r="H84" s="149">
        <v>26112701.067119509</v>
      </c>
      <c r="I84" s="149">
        <v>27825488.830211326</v>
      </c>
      <c r="J84" s="149">
        <v>29871901.196652099</v>
      </c>
      <c r="K84" s="149">
        <v>32339078.059043538</v>
      </c>
      <c r="L84" s="149">
        <v>35329975.056613371</v>
      </c>
      <c r="M84" s="149">
        <v>38969699.75170809</v>
      </c>
      <c r="N84" s="149">
        <v>43413549.62442109</v>
      </c>
    </row>
  </sheetData>
  <mergeCells count="10">
    <mergeCell ref="E67:N67"/>
    <mergeCell ref="D69:D74"/>
    <mergeCell ref="E76:N76"/>
    <mergeCell ref="E77:N77"/>
    <mergeCell ref="D79:D84"/>
    <mergeCell ref="Y13:AD13"/>
    <mergeCell ref="E57:N57"/>
    <mergeCell ref="D58:D64"/>
    <mergeCell ref="E56:N56"/>
    <mergeCell ref="E66:N66"/>
  </mergeCells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opLeftCell="F16" workbookViewId="0">
      <selection activeCell="Q37" sqref="Q37"/>
    </sheetView>
  </sheetViews>
  <sheetFormatPr defaultColWidth="8.77734375" defaultRowHeight="14.4" x14ac:dyDescent="0.3"/>
  <cols>
    <col min="1" max="1" width="11" bestFit="1" customWidth="1"/>
    <col min="2" max="2" width="13.6640625" bestFit="1" customWidth="1"/>
    <col min="3" max="3" width="9.5546875" bestFit="1" customWidth="1"/>
    <col min="4" max="4" width="10" bestFit="1" customWidth="1"/>
    <col min="5" max="5" width="17.5546875" customWidth="1"/>
    <col min="10" max="10" width="12.33203125" customWidth="1"/>
    <col min="11" max="11" width="11.88671875" customWidth="1"/>
    <col min="12" max="12" width="13.6640625" bestFit="1" customWidth="1"/>
    <col min="14" max="14" width="11.109375" bestFit="1" customWidth="1"/>
    <col min="15" max="15" width="13.44140625" bestFit="1" customWidth="1"/>
    <col min="16" max="17" width="11" bestFit="1" customWidth="1"/>
  </cols>
  <sheetData>
    <row r="1" spans="1:17" x14ac:dyDescent="0.3">
      <c r="A1" s="157">
        <f>'Task 2'!R52</f>
        <v>6603214.9775645789</v>
      </c>
    </row>
    <row r="3" spans="1:17" x14ac:dyDescent="0.3">
      <c r="C3" s="162"/>
    </row>
    <row r="5" spans="1:17" x14ac:dyDescent="0.3">
      <c r="K5" s="162"/>
    </row>
    <row r="6" spans="1:17" x14ac:dyDescent="0.3">
      <c r="F6" s="162"/>
    </row>
    <row r="8" spans="1:17" ht="52.8" x14ac:dyDescent="0.3">
      <c r="A8" s="4" t="s">
        <v>42</v>
      </c>
      <c r="B8" s="117" t="s">
        <v>87</v>
      </c>
      <c r="C8" s="46" t="s">
        <v>80</v>
      </c>
      <c r="D8" s="164" t="s">
        <v>107</v>
      </c>
      <c r="E8" s="164" t="s">
        <v>108</v>
      </c>
      <c r="F8" s="165" t="s">
        <v>109</v>
      </c>
      <c r="G8" s="76" t="s">
        <v>89</v>
      </c>
      <c r="H8" s="76" t="s">
        <v>90</v>
      </c>
      <c r="I8" s="76" t="s">
        <v>82</v>
      </c>
      <c r="J8" s="117" t="s">
        <v>92</v>
      </c>
      <c r="K8" s="167" t="s">
        <v>88</v>
      </c>
      <c r="L8" s="167" t="s">
        <v>84</v>
      </c>
      <c r="M8" s="76" t="s">
        <v>91</v>
      </c>
      <c r="N8" s="122" t="s">
        <v>111</v>
      </c>
      <c r="O8" s="122" t="s">
        <v>112</v>
      </c>
      <c r="P8" s="122" t="s">
        <v>113</v>
      </c>
      <c r="Q8" s="165" t="s">
        <v>110</v>
      </c>
    </row>
    <row r="9" spans="1:17" x14ac:dyDescent="0.3">
      <c r="A9" s="5">
        <v>30</v>
      </c>
      <c r="B9" s="116">
        <v>0</v>
      </c>
      <c r="C9" s="163">
        <f>'Task 2'!B4</f>
        <v>90000</v>
      </c>
      <c r="D9" s="124" t="str">
        <f ca="1">IF(RANDBETWEEN(0,1)=1,"YES","NO")</f>
        <v>YES</v>
      </c>
      <c r="E9" s="124" t="str">
        <f ca="1">IF(D9="YES", IF(RANDBETWEEN(0,1)=0, "MINOR", "MAJOR"), "NONE")</f>
        <v>MAJOR</v>
      </c>
      <c r="F9" s="166">
        <f ca="1">(IF(E9="MINOR", RANDBETWEEN(5,15), IF(E9="MAJOR", RANDBETWEEN(25,35), 0)))/100</f>
        <v>0.32</v>
      </c>
      <c r="G9" s="45" t="str">
        <f>IF(ISEVEN(B9), "YES", "NO")</f>
        <v>YES</v>
      </c>
      <c r="H9" s="45">
        <v>0</v>
      </c>
      <c r="I9" s="45">
        <v>0</v>
      </c>
      <c r="J9" s="45">
        <f ca="1">'Task 2'!$F$6*(1+'Task 2'!$F$7)^'Task 3'!B9+'Task 2'!$F$10*'Task 3'!M9</f>
        <v>5700</v>
      </c>
      <c r="K9" s="118">
        <v>0</v>
      </c>
      <c r="L9" s="118">
        <f ca="1">J9+K9</f>
        <v>5700</v>
      </c>
      <c r="M9" s="45">
        <f ca="1">(RANDBETWEEN(0,25))/100*C9</f>
        <v>10800</v>
      </c>
      <c r="N9" s="45">
        <f>0.14*C9</f>
        <v>12600.000000000002</v>
      </c>
      <c r="O9" s="45">
        <v>0</v>
      </c>
      <c r="P9" s="45">
        <f>N9+O9</f>
        <v>12600.000000000002</v>
      </c>
      <c r="Q9" s="45">
        <f ca="1">P9+L9</f>
        <v>18300</v>
      </c>
    </row>
    <row r="10" spans="1:17" x14ac:dyDescent="0.3">
      <c r="A10" s="5">
        <f t="shared" ref="A10:A44" si="0">A9+1</f>
        <v>31</v>
      </c>
      <c r="B10" s="116">
        <v>1</v>
      </c>
      <c r="C10" s="163">
        <f>C9*(1+'Task 2'!$B$7)</f>
        <v>92700</v>
      </c>
      <c r="D10" s="124" t="str">
        <f ca="1">IF(AND(D9&lt;&gt;"YES", D8&lt;&gt;"YES", D7&lt;&gt;"YES", D6&lt;&gt;"YES", D5&lt;&gt;"YES"), IF(RANDBETWEEN(0,1)=1, "YES", "NO"), "NO")</f>
        <v>NO</v>
      </c>
      <c r="E10" s="124" t="str">
        <f t="shared" ref="E10:E44" ca="1" si="1">IF(D10="YES", IF(RANDBETWEEN(0,1)=0, "MINOR", "MAJOR"), "NONE")</f>
        <v>NONE</v>
      </c>
      <c r="F10" s="166">
        <f t="shared" ref="F10:F44" ca="1" si="2">(IF(E10="MINOR", RANDBETWEEN(5,15), IF(E10="MAJOR", RANDBETWEEN(25,35), 0)))/100</f>
        <v>0</v>
      </c>
      <c r="G10" s="45" t="str">
        <f>IF(ISEVEN(B10), "YES", "NO")</f>
        <v>NO</v>
      </c>
      <c r="H10" s="45">
        <f>(C10-C9)*'Task 2'!$F$9</f>
        <v>810</v>
      </c>
      <c r="I10" s="45">
        <f t="shared" ref="I10" si="3">IF(G10="YES",IF(H10&gt;$G$15,$G$15,H10),0)</f>
        <v>0</v>
      </c>
      <c r="J10" s="45">
        <f ca="1">'Task 2'!$F$6*(1+'Task 2'!$F$7)^'Task 3'!B10+'Task 2'!$F$10*'Task 3'!M10</f>
        <v>6626.25</v>
      </c>
      <c r="K10" s="118">
        <f ca="1">(1-F10)*IF(A9&gt;$E$52, SUMPRODUCT((L9+J10)*$F$52:$H$52,$F$54:$H$54), IF(A9&gt;$E$51, SUMPRODUCT((L9+J10)*$F$51:$H$51,$F$54:$H$54), IF(A9&gt;$E$50, SUMPRODUCT((L9+J10)*$F$50:$H$50,$F$54:$H$54), IF(A9&gt;$E$49, SUMPRODUCT((L9+J10)*$F$49:$H$49,$F$54:$H$54), IF(A9&gt;$E$48, SUMPRODUCT((L9+J10)*$F$48:$H$48, $F$54:$H$54), SUMPRODUCT((L9+J10)*$F$47:$H$47, $F$54:$H$54))))))</f>
        <v>1232.625</v>
      </c>
      <c r="L10" s="118">
        <f ca="1">L9+J10+K10-I10</f>
        <v>13558.875</v>
      </c>
      <c r="M10" s="45">
        <f t="shared" ref="M10:M44" ca="1" si="4">(RANDBETWEEN(0,25))/100*C10</f>
        <v>13905</v>
      </c>
      <c r="N10" s="45">
        <f t="shared" ref="N10:N44" si="5">0.14*C10</f>
        <v>12978.000000000002</v>
      </c>
      <c r="O10" s="45">
        <f ca="1">(1-F10)*IF(A9&gt;$E$52, SUMPRODUCT((P9+N10)*$F$52:$H$52,$F$54:$H$54), IF(A9&gt;$E$51, SUMPRODUCT((P9+N10)*$F$51:$H$51,$F$54:$H$54), IF(A9&gt;$E$50, SUMPRODUCT((P9+N10)*$F$50:$H$50,$F$54:$H$54), IF(A9&gt;$E$49, SUMPRODUCT((P9+N10)*$F$49:$H$49,$F$54:$H$54), IF(A9&gt;$E$48, SUMPRODUCT((P9+N10)*$F$48:$H$48, $F$54:$H$54), SUMPRODUCT((P9+N10)*$F$47:$H$47, $F$54:$H$54))))))</f>
        <v>2557.8000000000006</v>
      </c>
      <c r="P10" s="45">
        <f ca="1">N10+O10+P9</f>
        <v>28135.800000000003</v>
      </c>
      <c r="Q10" s="45">
        <f t="shared" ref="Q10:Q44" ca="1" si="6">P10+L10</f>
        <v>41694.675000000003</v>
      </c>
    </row>
    <row r="11" spans="1:17" x14ac:dyDescent="0.3">
      <c r="A11" s="5">
        <f t="shared" si="0"/>
        <v>32</v>
      </c>
      <c r="B11" s="116">
        <v>2</v>
      </c>
      <c r="C11" s="163">
        <f>C10*(1+'Task 2'!$B$7)</f>
        <v>95481</v>
      </c>
      <c r="D11" s="124" t="str">
        <f ca="1">IF(AND(D10&lt;&gt;"YES", D9&lt;&gt;"YES", D8&lt;&gt;"YES", D7&lt;&gt;"YES", D6&lt;&gt;"YES"), IF(RANDBETWEEN(0,1)=1, "YES", "NO"), "NO")</f>
        <v>NO</v>
      </c>
      <c r="E11" s="124" t="str">
        <f t="shared" ca="1" si="1"/>
        <v>NONE</v>
      </c>
      <c r="F11" s="166">
        <f t="shared" ca="1" si="2"/>
        <v>0</v>
      </c>
      <c r="G11" s="45" t="str">
        <f>IF(ISEVEN(B11), "YES", "NO")</f>
        <v>YES</v>
      </c>
      <c r="H11" s="45">
        <f>(C11-C10)*'Task 2'!$F$9</f>
        <v>834.3</v>
      </c>
      <c r="I11" s="45">
        <f>IF(G11="YES",IF(H11&gt;$G$15,$G$15,H11),0)</f>
        <v>834.3</v>
      </c>
      <c r="J11" s="45">
        <f ca="1">'Task 2'!$F$6*(1+'Task 2'!$F$7)^'Task 3'!B11+'Task 2'!$F$10*'Task 3'!M11</f>
        <v>8081.55</v>
      </c>
      <c r="K11" s="118">
        <f t="shared" ref="K11:K44" ca="1" si="7">(1-F11)*IF(A10&gt;$E$52, SUMPRODUCT((L10+J11)*$F$52:$H$52,$F$54:$H$54), IF(A10&gt;$E$51, SUMPRODUCT((L10+J11)*$F$51:$H$51,$F$54:$H$54), IF(A10&gt;$E$50, SUMPRODUCT((L10+J11)*$F$50:$H$50,$F$54:$H$54), IF(A10&gt;$E$49, SUMPRODUCT((L10+J11)*$F$49:$H$49,$F$54:$H$54), IF(A10&gt;$E$48, SUMPRODUCT((L10+J11)*$F$48:$H$48, $F$54:$H$54), SUMPRODUCT((L10+J11)*$F$47:$H$47, $F$54:$H$54))))))</f>
        <v>2164.0425</v>
      </c>
      <c r="L11" s="118">
        <f t="shared" ref="L11:L44" ca="1" si="8">L10+J11+K11-I11</f>
        <v>22970.1675</v>
      </c>
      <c r="M11" s="45">
        <f t="shared" ca="1" si="4"/>
        <v>19096.2</v>
      </c>
      <c r="N11" s="45">
        <f t="shared" si="5"/>
        <v>13367.340000000002</v>
      </c>
      <c r="O11" s="45">
        <f t="shared" ref="O11:O44" ca="1" si="9">(1-F11)*IF(A10&gt;$E$52, SUMPRODUCT((P10+N11)*$F$52:$H$52,$F$54:$H$54), IF(A10&gt;$E$51, SUMPRODUCT((P10+N11)*$F$51:$H$51,$F$54:$H$54), IF(A10&gt;$E$50, SUMPRODUCT((P10+N11)*$F$50:$H$50,$F$54:$H$54), IF(A10&gt;$E$49, SUMPRODUCT((P10+N11)*$F$49:$H$49,$F$54:$H$54), IF(A10&gt;$E$48, SUMPRODUCT((P10+N11)*$F$48:$H$48, $F$54:$H$54), SUMPRODUCT((P10+N11)*$F$47:$H$47, $F$54:$H$54))))))</f>
        <v>4150.3140000000012</v>
      </c>
      <c r="P11" s="45">
        <f t="shared" ref="P11:P44" ca="1" si="10">N11+O11+P10</f>
        <v>45653.454000000005</v>
      </c>
      <c r="Q11" s="45">
        <f t="shared" ca="1" si="6"/>
        <v>68623.621500000008</v>
      </c>
    </row>
    <row r="12" spans="1:17" x14ac:dyDescent="0.3">
      <c r="A12" s="5">
        <f t="shared" si="0"/>
        <v>33</v>
      </c>
      <c r="B12" s="116">
        <v>3</v>
      </c>
      <c r="C12" s="163">
        <f>C11*(1+'Task 2'!$B$7)</f>
        <v>98345.430000000008</v>
      </c>
      <c r="D12" s="124" t="str">
        <f t="shared" ref="D11:D44" ca="1" si="11">IF(AND(D11&lt;&gt;"YES", D10&lt;&gt;"YES", D9&lt;&gt;"YES", D8&lt;&gt;"YES", D7&lt;&gt;"YES"), IF(RANDBETWEEN(0,1)=1, "YES", "NO"), "NO")</f>
        <v>NO</v>
      </c>
      <c r="E12" s="124" t="str">
        <f t="shared" ca="1" si="1"/>
        <v>NONE</v>
      </c>
      <c r="F12" s="166">
        <f t="shared" ca="1" si="2"/>
        <v>0</v>
      </c>
      <c r="G12" s="45" t="str">
        <f>IF(ISEVEN(B12), "YES", "NO")</f>
        <v>NO</v>
      </c>
      <c r="H12" s="45">
        <f>(C12-C11)*'Task 2'!$F$9</f>
        <v>859.32900000000222</v>
      </c>
      <c r="I12" s="45">
        <f t="shared" ref="I12:I44" si="12">IF(G12="YES",IF(H12&gt;$G$15,$G$15,H12),0)</f>
        <v>0</v>
      </c>
      <c r="J12" s="45">
        <f ca="1">'Task 2'!$F$6*(1+'Task 2'!$F$7)^'Task 3'!B12+'Task 2'!$F$10*'Task 3'!M12</f>
        <v>6423.2379000000001</v>
      </c>
      <c r="K12" s="118">
        <f t="shared" ca="1" si="7"/>
        <v>2939.3405400000001</v>
      </c>
      <c r="L12" s="118">
        <f t="shared" ca="1" si="8"/>
        <v>32332.745940000001</v>
      </c>
      <c r="M12" s="45">
        <f t="shared" ca="1" si="4"/>
        <v>11801.4516</v>
      </c>
      <c r="N12" s="45">
        <f t="shared" si="5"/>
        <v>13768.360200000003</v>
      </c>
      <c r="O12" s="45">
        <f t="shared" ca="1" si="9"/>
        <v>5942.1814200000008</v>
      </c>
      <c r="P12" s="45">
        <f t="shared" ca="1" si="10"/>
        <v>65363.995620000009</v>
      </c>
      <c r="Q12" s="45">
        <f t="shared" ca="1" si="6"/>
        <v>97696.741560000009</v>
      </c>
    </row>
    <row r="13" spans="1:17" x14ac:dyDescent="0.3">
      <c r="A13" s="5">
        <f t="shared" si="0"/>
        <v>34</v>
      </c>
      <c r="B13" s="116">
        <v>4</v>
      </c>
      <c r="C13" s="163">
        <f>C12*(1+'Task 2'!$B$7)</f>
        <v>101295.79290000001</v>
      </c>
      <c r="D13" s="124" t="str">
        <f t="shared" ca="1" si="11"/>
        <v>NO</v>
      </c>
      <c r="E13" s="124" t="str">
        <f t="shared" ca="1" si="1"/>
        <v>NONE</v>
      </c>
      <c r="F13" s="166">
        <f t="shared" ca="1" si="2"/>
        <v>0</v>
      </c>
      <c r="G13" s="45" t="str">
        <f>IF(ISEVEN(B13), "YES", "NO")</f>
        <v>YES</v>
      </c>
      <c r="H13" s="45">
        <f>(C13-C12)*'Task 2'!$F$9</f>
        <v>885.10887000000218</v>
      </c>
      <c r="I13" s="45">
        <f t="shared" si="12"/>
        <v>885.10887000000218</v>
      </c>
      <c r="J13" s="45">
        <f ca="1">'Task 2'!$F$6*(1+'Task 2'!$F$7)^'Task 3'!B13+'Task 2'!$F$10*'Task 3'!M13</f>
        <v>8204.8294305000018</v>
      </c>
      <c r="K13" s="118">
        <f t="shared" ca="1" si="7"/>
        <v>4053.7575370500003</v>
      </c>
      <c r="L13" s="118">
        <f t="shared" ca="1" si="8"/>
        <v>43706.224037549997</v>
      </c>
      <c r="M13" s="45">
        <f t="shared" ca="1" si="4"/>
        <v>18233.242722000003</v>
      </c>
      <c r="N13" s="45">
        <f t="shared" si="5"/>
        <v>14181.411006000004</v>
      </c>
      <c r="O13" s="45">
        <f t="shared" ca="1" si="9"/>
        <v>7954.5406626000013</v>
      </c>
      <c r="P13" s="45">
        <f t="shared" ca="1" si="10"/>
        <v>87499.947288600015</v>
      </c>
      <c r="Q13" s="45">
        <f t="shared" ca="1" si="6"/>
        <v>131206.17132615001</v>
      </c>
    </row>
    <row r="14" spans="1:17" x14ac:dyDescent="0.3">
      <c r="A14" s="5">
        <f t="shared" si="0"/>
        <v>35</v>
      </c>
      <c r="B14" s="116">
        <v>5</v>
      </c>
      <c r="C14" s="163">
        <f>C13*(1+'Task 2'!$B$7)</f>
        <v>104334.66668700002</v>
      </c>
      <c r="D14" s="124" t="str">
        <f t="shared" ca="1" si="11"/>
        <v>NO</v>
      </c>
      <c r="E14" s="124" t="str">
        <f t="shared" ca="1" si="1"/>
        <v>NONE</v>
      </c>
      <c r="F14" s="166">
        <f t="shared" ca="1" si="2"/>
        <v>0</v>
      </c>
      <c r="G14" s="45" t="str">
        <f>IF(ISEVEN(B14), "YES", "NO")</f>
        <v>NO</v>
      </c>
      <c r="H14" s="45">
        <f>(C14-C13)*'Task 2'!$F$9</f>
        <v>911.66213610000125</v>
      </c>
      <c r="I14" s="45">
        <f t="shared" si="12"/>
        <v>0</v>
      </c>
      <c r="J14" s="45">
        <f ca="1">'Task 2'!$F$6*(1+'Task 2'!$F$7)^'Task 3'!B14+'Task 2'!$F$10*'Task 3'!M14</f>
        <v>8523.9046884150011</v>
      </c>
      <c r="K14" s="118">
        <f t="shared" ca="1" si="7"/>
        <v>5223.0128725965005</v>
      </c>
      <c r="L14" s="118">
        <f t="shared" ca="1" si="8"/>
        <v>57453.141598561502</v>
      </c>
      <c r="M14" s="45">
        <f t="shared" ca="1" si="4"/>
        <v>18780.240003660001</v>
      </c>
      <c r="N14" s="45">
        <f t="shared" si="5"/>
        <v>14606.853336180004</v>
      </c>
      <c r="O14" s="45">
        <f t="shared" ca="1" si="9"/>
        <v>10210.680062478003</v>
      </c>
      <c r="P14" s="45">
        <f t="shared" ca="1" si="10"/>
        <v>112317.48068725802</v>
      </c>
      <c r="Q14" s="45">
        <f t="shared" ca="1" si="6"/>
        <v>169770.62228581953</v>
      </c>
    </row>
    <row r="15" spans="1:17" x14ac:dyDescent="0.3">
      <c r="A15" s="5">
        <f t="shared" si="0"/>
        <v>36</v>
      </c>
      <c r="B15" s="116">
        <v>6</v>
      </c>
      <c r="C15" s="163">
        <f>C14*(1+'Task 2'!$B$7)</f>
        <v>107464.70668761003</v>
      </c>
      <c r="D15" s="124" t="str">
        <f t="shared" ca="1" si="11"/>
        <v>NO</v>
      </c>
      <c r="E15" s="124" t="str">
        <f t="shared" ca="1" si="1"/>
        <v>NONE</v>
      </c>
      <c r="F15" s="166">
        <f t="shared" ca="1" si="2"/>
        <v>0</v>
      </c>
      <c r="G15" s="45" t="str">
        <f>IF(ISEVEN(B15), "YES", "NO")</f>
        <v>YES</v>
      </c>
      <c r="H15" s="45">
        <f>(C15-C14)*'Task 2'!$F$9</f>
        <v>939.0120001830029</v>
      </c>
      <c r="I15" s="45">
        <f t="shared" si="12"/>
        <v>939.0120001830029</v>
      </c>
      <c r="J15" s="45">
        <f ca="1">'Task 2'!$F$6*(1+'Task 2'!$F$7)^'Task 3'!B15+'Task 2'!$F$10*'Task 3'!M15</f>
        <v>6706.9045890652505</v>
      </c>
      <c r="K15" s="118">
        <f t="shared" ca="1" si="7"/>
        <v>6416.0046187626758</v>
      </c>
      <c r="L15" s="118">
        <f t="shared" ca="1" si="8"/>
        <v>69637.038806206416</v>
      </c>
      <c r="M15" s="45">
        <f t="shared" ca="1" si="4"/>
        <v>10746.470668761003</v>
      </c>
      <c r="N15" s="45">
        <f t="shared" si="5"/>
        <v>15045.058936265406</v>
      </c>
      <c r="O15" s="45">
        <f t="shared" ca="1" si="9"/>
        <v>12736.253962352343</v>
      </c>
      <c r="P15" s="45">
        <f t="shared" ca="1" si="10"/>
        <v>140098.79358587577</v>
      </c>
      <c r="Q15" s="45">
        <f t="shared" ca="1" si="6"/>
        <v>209735.8323920822</v>
      </c>
    </row>
    <row r="16" spans="1:17" x14ac:dyDescent="0.3">
      <c r="A16" s="5">
        <f t="shared" si="0"/>
        <v>37</v>
      </c>
      <c r="B16" s="116">
        <v>7</v>
      </c>
      <c r="C16" s="163">
        <f>C15*(1+'Task 2'!$B$7)</f>
        <v>110688.64788823834</v>
      </c>
      <c r="D16" s="124" t="str">
        <f t="shared" ca="1" si="11"/>
        <v>NO</v>
      </c>
      <c r="E16" s="124" t="str">
        <f t="shared" ca="1" si="1"/>
        <v>NONE</v>
      </c>
      <c r="F16" s="166">
        <f t="shared" ca="1" si="2"/>
        <v>0</v>
      </c>
      <c r="G16" s="45" t="str">
        <f>IF(ISEVEN(B16), "YES", "NO")</f>
        <v>NO</v>
      </c>
      <c r="H16" s="45">
        <f>(C16-C15)*'Task 2'!$F$9</f>
        <v>967.18236018849268</v>
      </c>
      <c r="I16" s="45">
        <f t="shared" si="12"/>
        <v>0</v>
      </c>
      <c r="J16" s="45">
        <f ca="1">'Task 2'!$F$6*(1+'Task 2'!$F$7)^'Task 3'!B16+'Task 2'!$F$10*'Task 3'!M16</f>
        <v>10862.620141263051</v>
      </c>
      <c r="K16" s="118">
        <f t="shared" ca="1" si="7"/>
        <v>8049.965894746947</v>
      </c>
      <c r="L16" s="118">
        <f t="shared" ca="1" si="8"/>
        <v>88549.624842216406</v>
      </c>
      <c r="M16" s="45">
        <f t="shared" ca="1" si="4"/>
        <v>26565.2754931772</v>
      </c>
      <c r="N16" s="45">
        <f t="shared" si="5"/>
        <v>15496.41070435337</v>
      </c>
      <c r="O16" s="45">
        <f t="shared" ca="1" si="9"/>
        <v>15559.520429022914</v>
      </c>
      <c r="P16" s="45">
        <f t="shared" ca="1" si="10"/>
        <v>171154.72471925206</v>
      </c>
      <c r="Q16" s="45">
        <f t="shared" ca="1" si="6"/>
        <v>259704.34956146847</v>
      </c>
    </row>
    <row r="17" spans="1:17" x14ac:dyDescent="0.3">
      <c r="A17" s="5">
        <f t="shared" si="0"/>
        <v>38</v>
      </c>
      <c r="B17" s="116">
        <v>8</v>
      </c>
      <c r="C17" s="163">
        <f>C16*(1+'Task 2'!$B$7)</f>
        <v>114009.30732488549</v>
      </c>
      <c r="D17" s="124" t="str">
        <f t="shared" ca="1" si="11"/>
        <v>YES</v>
      </c>
      <c r="E17" s="124" t="str">
        <f t="shared" ca="1" si="1"/>
        <v>MAJOR</v>
      </c>
      <c r="F17" s="166">
        <f t="shared" ca="1" si="2"/>
        <v>0.33</v>
      </c>
      <c r="G17" s="45" t="str">
        <f>IF(ISEVEN(B17), "YES", "NO")</f>
        <v>YES</v>
      </c>
      <c r="H17" s="45">
        <f>(C17-C16)*'Task 2'!$F$9</f>
        <v>996.19783099414633</v>
      </c>
      <c r="I17" s="45">
        <f t="shared" si="12"/>
        <v>996.19783099414633</v>
      </c>
      <c r="J17" s="45">
        <f ca="1">'Task 2'!$F$6*(1+'Task 2'!$F$7)^'Task 3'!B17+'Task 2'!$F$10*'Task 3'!M17</f>
        <v>5002.4128679916157</v>
      </c>
      <c r="K17" s="118">
        <f t="shared" ca="1" si="7"/>
        <v>6267.9865265839371</v>
      </c>
      <c r="L17" s="118">
        <f t="shared" ca="1" si="8"/>
        <v>98823.826405797809</v>
      </c>
      <c r="M17" s="45">
        <f t="shared" ca="1" si="4"/>
        <v>2280.1861464977101</v>
      </c>
      <c r="N17" s="45">
        <f t="shared" si="5"/>
        <v>15961.30302548397</v>
      </c>
      <c r="O17" s="45">
        <f t="shared" ca="1" si="9"/>
        <v>12536.773858897312</v>
      </c>
      <c r="P17" s="45">
        <f t="shared" ca="1" si="10"/>
        <v>199652.80160363333</v>
      </c>
      <c r="Q17" s="45">
        <f t="shared" ca="1" si="6"/>
        <v>298476.62800943112</v>
      </c>
    </row>
    <row r="18" spans="1:17" x14ac:dyDescent="0.3">
      <c r="A18" s="5">
        <f t="shared" si="0"/>
        <v>39</v>
      </c>
      <c r="B18" s="116">
        <v>9</v>
      </c>
      <c r="C18" s="163">
        <f>C17*(1+'Task 2'!$B$7)</f>
        <v>117429.58654463205</v>
      </c>
      <c r="D18" s="124" t="str">
        <f t="shared" ca="1" si="11"/>
        <v>NO</v>
      </c>
      <c r="E18" s="124" t="str">
        <f t="shared" ca="1" si="1"/>
        <v>NONE</v>
      </c>
      <c r="F18" s="166">
        <f t="shared" ca="1" si="2"/>
        <v>0</v>
      </c>
      <c r="G18" s="45" t="str">
        <f>IF(ISEVEN(B18), "YES", "NO")</f>
        <v>NO</v>
      </c>
      <c r="H18" s="45">
        <f>(C18-C17)*'Task 2'!$F$9</f>
        <v>1026.083765923968</v>
      </c>
      <c r="I18" s="45">
        <f t="shared" si="12"/>
        <v>0</v>
      </c>
      <c r="J18" s="45">
        <f ca="1">'Task 2'!$F$6*(1+'Task 2'!$F$7)^'Task 3'!B18+'Task 2'!$F$10*'Task 3'!M18</f>
        <v>8470.4462106360897</v>
      </c>
      <c r="K18" s="118">
        <f t="shared" ca="1" si="7"/>
        <v>10729.42726164339</v>
      </c>
      <c r="L18" s="118">
        <f t="shared" ca="1" si="8"/>
        <v>118023.69987807728</v>
      </c>
      <c r="M18" s="45">
        <f t="shared" ca="1" si="4"/>
        <v>15265.846250802168</v>
      </c>
      <c r="N18" s="45">
        <f t="shared" si="5"/>
        <v>16440.142116248488</v>
      </c>
      <c r="O18" s="45">
        <f t="shared" ca="1" si="9"/>
        <v>21609.294371988184</v>
      </c>
      <c r="P18" s="45">
        <f t="shared" ca="1" si="10"/>
        <v>237702.23809187001</v>
      </c>
      <c r="Q18" s="45">
        <f t="shared" ca="1" si="6"/>
        <v>355725.93796994729</v>
      </c>
    </row>
    <row r="19" spans="1:17" x14ac:dyDescent="0.3">
      <c r="A19" s="5">
        <f t="shared" si="0"/>
        <v>40</v>
      </c>
      <c r="B19" s="116">
        <v>10</v>
      </c>
      <c r="C19" s="163">
        <f>C18*(1+'Task 2'!$B$7)</f>
        <v>120952.47414097101</v>
      </c>
      <c r="D19" s="124" t="str">
        <f t="shared" ca="1" si="11"/>
        <v>NO</v>
      </c>
      <c r="E19" s="124" t="str">
        <f t="shared" ca="1" si="1"/>
        <v>NONE</v>
      </c>
      <c r="F19" s="166">
        <f t="shared" ca="1" si="2"/>
        <v>0</v>
      </c>
      <c r="G19" s="45" t="str">
        <f>IF(ISEVEN(B19), "YES", "NO")</f>
        <v>YES</v>
      </c>
      <c r="H19" s="45">
        <f>(C19-C18)*'Task 2'!$F$9</f>
        <v>1056.8662789016873</v>
      </c>
      <c r="I19" s="45">
        <f t="shared" si="12"/>
        <v>1056.8662789016873</v>
      </c>
      <c r="J19" s="45">
        <f ca="1">'Task 2'!$F$6*(1+'Task 2'!$F$7)^'Task 3'!B19+'Task 2'!$F$10*'Task 3'!M19</f>
        <v>7910.4957338566001</v>
      </c>
      <c r="K19" s="118">
        <f t="shared" ca="1" si="7"/>
        <v>12593.41956119339</v>
      </c>
      <c r="L19" s="118">
        <f t="shared" ca="1" si="8"/>
        <v>137470.74889422557</v>
      </c>
      <c r="M19" s="45">
        <f t="shared" ca="1" si="4"/>
        <v>12095.247414097103</v>
      </c>
      <c r="N19" s="45">
        <f t="shared" si="5"/>
        <v>16933.346379735944</v>
      </c>
      <c r="O19" s="45">
        <f t="shared" ca="1" si="9"/>
        <v>25463.558447160598</v>
      </c>
      <c r="P19" s="45">
        <f t="shared" ca="1" si="10"/>
        <v>280099.14291876653</v>
      </c>
      <c r="Q19" s="45">
        <f t="shared" ca="1" si="6"/>
        <v>417569.89181299211</v>
      </c>
    </row>
    <row r="20" spans="1:17" x14ac:dyDescent="0.3">
      <c r="A20" s="5">
        <f t="shared" si="0"/>
        <v>41</v>
      </c>
      <c r="B20" s="116">
        <v>11</v>
      </c>
      <c r="C20" s="163">
        <f>C19*(1+'Task 2'!$B$7)</f>
        <v>124581.04836520014</v>
      </c>
      <c r="D20" s="124" t="str">
        <f t="shared" ca="1" si="11"/>
        <v>NO</v>
      </c>
      <c r="E20" s="124" t="str">
        <f t="shared" ca="1" si="1"/>
        <v>NONE</v>
      </c>
      <c r="F20" s="166">
        <f t="shared" ca="1" si="2"/>
        <v>0</v>
      </c>
      <c r="G20" s="45" t="str">
        <f>IF(ISEVEN(B20), "YES", "NO")</f>
        <v>NO</v>
      </c>
      <c r="H20" s="45">
        <f>(C20-C19)*'Task 2'!$F$9</f>
        <v>1088.5722672687391</v>
      </c>
      <c r="I20" s="45">
        <f t="shared" si="12"/>
        <v>0</v>
      </c>
      <c r="J20" s="45">
        <f ca="1">'Task 2'!$F$6*(1+'Task 2'!$F$7)^'Task 3'!B20+'Task 2'!$F$10*'Task 3'!M20</f>
        <v>11048.617871695948</v>
      </c>
      <c r="K20" s="118">
        <f t="shared" ca="1" si="7"/>
        <v>14851.936676592153</v>
      </c>
      <c r="L20" s="118">
        <f t="shared" ca="1" si="8"/>
        <v>163371.30344251369</v>
      </c>
      <c r="M20" s="45">
        <f t="shared" ca="1" si="4"/>
        <v>23670.399189388027</v>
      </c>
      <c r="N20" s="45">
        <f t="shared" si="5"/>
        <v>17441.346771128021</v>
      </c>
      <c r="O20" s="45">
        <f t="shared" ca="1" si="9"/>
        <v>29754.048968989457</v>
      </c>
      <c r="P20" s="45">
        <f t="shared" ca="1" si="10"/>
        <v>327294.538658884</v>
      </c>
      <c r="Q20" s="45">
        <f t="shared" ca="1" si="6"/>
        <v>490665.84210139769</v>
      </c>
    </row>
    <row r="21" spans="1:17" x14ac:dyDescent="0.3">
      <c r="A21" s="5">
        <f t="shared" si="0"/>
        <v>42</v>
      </c>
      <c r="B21" s="116">
        <v>12</v>
      </c>
      <c r="C21" s="163">
        <f>C20*(1+'Task 2'!$B$7)</f>
        <v>128318.47981615615</v>
      </c>
      <c r="D21" s="124" t="str">
        <f t="shared" ca="1" si="11"/>
        <v>NO</v>
      </c>
      <c r="E21" s="124" t="str">
        <f t="shared" ca="1" si="1"/>
        <v>NONE</v>
      </c>
      <c r="F21" s="166">
        <f t="shared" ca="1" si="2"/>
        <v>0</v>
      </c>
      <c r="G21" s="45" t="str">
        <f>IF(ISEVEN(B21), "YES", "NO")</f>
        <v>YES</v>
      </c>
      <c r="H21" s="45">
        <f>(C21-C20)*'Task 2'!$F$9</f>
        <v>1121.2294352868018</v>
      </c>
      <c r="I21" s="45">
        <f t="shared" si="12"/>
        <v>1121.2294352868018</v>
      </c>
      <c r="J21" s="45">
        <f ca="1">'Task 2'!$F$6*(1+'Task 2'!$F$7)^'Task 3'!B21+'Task 2'!$F$10*'Task 3'!M21</f>
        <v>5708.3651776067782</v>
      </c>
      <c r="K21" s="118">
        <f t="shared" ca="1" si="7"/>
        <v>16907.966862012046</v>
      </c>
      <c r="L21" s="118">
        <f t="shared" ca="1" si="8"/>
        <v>184866.40604684572</v>
      </c>
      <c r="M21" s="45">
        <f t="shared" ca="1" si="4"/>
        <v>1283.1847981615615</v>
      </c>
      <c r="N21" s="45">
        <f t="shared" si="5"/>
        <v>17964.587174261862</v>
      </c>
      <c r="O21" s="45">
        <f t="shared" ca="1" si="9"/>
        <v>34525.912583314588</v>
      </c>
      <c r="P21" s="45">
        <f t="shared" ca="1" si="10"/>
        <v>379785.03841646045</v>
      </c>
      <c r="Q21" s="45">
        <f t="shared" ca="1" si="6"/>
        <v>564651.44446330611</v>
      </c>
    </row>
    <row r="22" spans="1:17" x14ac:dyDescent="0.3">
      <c r="A22" s="5">
        <f t="shared" si="0"/>
        <v>43</v>
      </c>
      <c r="B22" s="116">
        <v>13</v>
      </c>
      <c r="C22" s="163">
        <f>C21*(1+'Task 2'!$B$7)</f>
        <v>132168.03421064085</v>
      </c>
      <c r="D22" s="124" t="str">
        <f t="shared" ca="1" si="11"/>
        <v>NO</v>
      </c>
      <c r="E22" s="124" t="str">
        <f t="shared" ca="1" si="1"/>
        <v>NONE</v>
      </c>
      <c r="F22" s="166">
        <f t="shared" ca="1" si="2"/>
        <v>0</v>
      </c>
      <c r="G22" s="45" t="str">
        <f>IF(ISEVEN(B22), "YES", "NO")</f>
        <v>NO</v>
      </c>
      <c r="H22" s="45">
        <f>(C22-C21)*'Task 2'!$F$9</f>
        <v>1154.8663183454103</v>
      </c>
      <c r="I22" s="45">
        <f t="shared" si="12"/>
        <v>0</v>
      </c>
      <c r="J22" s="45">
        <f ca="1">'Task 2'!$F$6*(1+'Task 2'!$F$7)^'Task 3'!B22+'Task 2'!$F$10*'Task 3'!M22</f>
        <v>13256.609394081557</v>
      </c>
      <c r="K22" s="118">
        <f t="shared" ca="1" si="7"/>
        <v>17434.825358801601</v>
      </c>
      <c r="L22" s="118">
        <f t="shared" ca="1" si="8"/>
        <v>215557.84079972887</v>
      </c>
      <c r="M22" s="45">
        <f t="shared" ca="1" si="4"/>
        <v>30398.647868447395</v>
      </c>
      <c r="N22" s="45">
        <f t="shared" si="5"/>
        <v>18503.524789489722</v>
      </c>
      <c r="O22" s="45">
        <f t="shared" ca="1" si="9"/>
        <v>35049.393562123623</v>
      </c>
      <c r="P22" s="45">
        <f t="shared" ca="1" si="10"/>
        <v>433337.95676807378</v>
      </c>
      <c r="Q22" s="45">
        <f t="shared" ca="1" si="6"/>
        <v>648895.79756780271</v>
      </c>
    </row>
    <row r="23" spans="1:17" x14ac:dyDescent="0.3">
      <c r="A23" s="5">
        <f t="shared" si="0"/>
        <v>44</v>
      </c>
      <c r="B23" s="116">
        <v>14</v>
      </c>
      <c r="C23" s="163">
        <f>C22*(1+'Task 2'!$B$7)</f>
        <v>136133.07523696008</v>
      </c>
      <c r="D23" s="124" t="str">
        <f t="shared" ca="1" si="11"/>
        <v>NO</v>
      </c>
      <c r="E23" s="124" t="str">
        <f t="shared" ca="1" si="1"/>
        <v>NONE</v>
      </c>
      <c r="F23" s="166">
        <f t="shared" ca="1" si="2"/>
        <v>0</v>
      </c>
      <c r="G23" s="45" t="str">
        <f>IF(ISEVEN(B23), "YES", "NO")</f>
        <v>YES</v>
      </c>
      <c r="H23" s="45">
        <f>(C23-C22)*'Task 2'!$F$9</f>
        <v>1189.5123078957695</v>
      </c>
      <c r="I23" s="45">
        <f t="shared" si="12"/>
        <v>1189.5123078957695</v>
      </c>
      <c r="J23" s="45">
        <f ca="1">'Task 2'!$F$6*(1+'Task 2'!$F$7)^'Task 3'!B23+'Task 2'!$F$10*'Task 3'!M23</f>
        <v>11385.117807796596</v>
      </c>
      <c r="K23" s="118">
        <f t="shared" ca="1" si="7"/>
        <v>19970.980357462242</v>
      </c>
      <c r="L23" s="118">
        <f t="shared" ca="1" si="8"/>
        <v>245724.42665709194</v>
      </c>
      <c r="M23" s="45">
        <f t="shared" ca="1" si="4"/>
        <v>21781.292037913612</v>
      </c>
      <c r="N23" s="45">
        <f t="shared" si="5"/>
        <v>19058.630533174412</v>
      </c>
      <c r="O23" s="45">
        <f t="shared" ca="1" si="9"/>
        <v>39810.899682509844</v>
      </c>
      <c r="P23" s="45">
        <f t="shared" ca="1" si="10"/>
        <v>492207.48698375805</v>
      </c>
      <c r="Q23" s="45">
        <f t="shared" ca="1" si="6"/>
        <v>737931.91364084999</v>
      </c>
    </row>
    <row r="24" spans="1:17" x14ac:dyDescent="0.3">
      <c r="A24" s="5">
        <f t="shared" si="0"/>
        <v>45</v>
      </c>
      <c r="B24" s="116">
        <v>15</v>
      </c>
      <c r="C24" s="163">
        <f>C23*(1+'Task 2'!$B$7)</f>
        <v>140217.06749406888</v>
      </c>
      <c r="D24" s="124" t="str">
        <f t="shared" ca="1" si="11"/>
        <v>YES</v>
      </c>
      <c r="E24" s="124" t="str">
        <f t="shared" ca="1" si="1"/>
        <v>MAJOR</v>
      </c>
      <c r="F24" s="166">
        <f t="shared" ca="1" si="2"/>
        <v>0.28000000000000003</v>
      </c>
      <c r="G24" s="45" t="str">
        <f>IF(ISEVEN(B24), "YES", "NO")</f>
        <v>NO</v>
      </c>
      <c r="H24" s="45">
        <f>(C24-C23)*'Task 2'!$F$9</f>
        <v>1225.1976771326385</v>
      </c>
      <c r="I24" s="45">
        <f t="shared" si="12"/>
        <v>0</v>
      </c>
      <c r="J24" s="45">
        <f ca="1">'Task 2'!$F$6*(1+'Task 2'!$F$7)^'Task 3'!B24+'Task 2'!$F$10*'Task 3'!M24</f>
        <v>14649.808587878237</v>
      </c>
      <c r="K24" s="118">
        <f t="shared" ca="1" si="7"/>
        <v>16497.311545121313</v>
      </c>
      <c r="L24" s="118">
        <f t="shared" ca="1" si="8"/>
        <v>276871.5467900915</v>
      </c>
      <c r="M24" s="45">
        <f t="shared" ca="1" si="4"/>
        <v>33652.096198576532</v>
      </c>
      <c r="N24" s="45">
        <f t="shared" si="5"/>
        <v>19630.389449169645</v>
      </c>
      <c r="O24" s="45">
        <f t="shared" ca="1" si="9"/>
        <v>32430.047850790306</v>
      </c>
      <c r="P24" s="45">
        <f t="shared" ca="1" si="10"/>
        <v>544267.92428371799</v>
      </c>
      <c r="Q24" s="45">
        <f t="shared" ca="1" si="6"/>
        <v>821139.47107380955</v>
      </c>
    </row>
    <row r="25" spans="1:17" x14ac:dyDescent="0.3">
      <c r="A25" s="5">
        <f t="shared" si="0"/>
        <v>46</v>
      </c>
      <c r="B25" s="116">
        <v>16</v>
      </c>
      <c r="C25" s="163">
        <f>C24*(1+'Task 2'!$B$7)</f>
        <v>144423.57951889094</v>
      </c>
      <c r="D25" s="124" t="str">
        <f t="shared" ca="1" si="11"/>
        <v>NO</v>
      </c>
      <c r="E25" s="124" t="str">
        <f t="shared" ca="1" si="1"/>
        <v>NONE</v>
      </c>
      <c r="F25" s="166">
        <f t="shared" ca="1" si="2"/>
        <v>0</v>
      </c>
      <c r="G25" s="45" t="str">
        <f>IF(ISEVEN(B25), "YES", "NO")</f>
        <v>YES</v>
      </c>
      <c r="H25" s="45">
        <f>(C25-C24)*'Task 2'!$F$9</f>
        <v>1261.9536074466189</v>
      </c>
      <c r="I25" s="45">
        <f t="shared" si="12"/>
        <v>1261.9536074466189</v>
      </c>
      <c r="J25" s="45">
        <f ca="1">'Task 2'!$F$6*(1+'Task 2'!$F$7)^'Task 3'!B25+'Task 2'!$F$10*'Task 3'!M25</f>
        <v>7270.7416627402627</v>
      </c>
      <c r="K25" s="118">
        <f t="shared" ca="1" si="7"/>
        <v>25004.521383849198</v>
      </c>
      <c r="L25" s="118">
        <f t="shared" ca="1" si="8"/>
        <v>307884.85622923431</v>
      </c>
      <c r="M25" s="45">
        <f t="shared" ca="1" si="4"/>
        <v>2888.4715903778188</v>
      </c>
      <c r="N25" s="45">
        <f t="shared" si="5"/>
        <v>20219.301132644734</v>
      </c>
      <c r="O25" s="45">
        <f t="shared" ca="1" si="9"/>
        <v>49674.875836639927</v>
      </c>
      <c r="P25" s="45">
        <f t="shared" ca="1" si="10"/>
        <v>614162.10125300265</v>
      </c>
      <c r="Q25" s="45">
        <f t="shared" ca="1" si="6"/>
        <v>922046.9574822369</v>
      </c>
    </row>
    <row r="26" spans="1:17" x14ac:dyDescent="0.3">
      <c r="A26" s="5">
        <f t="shared" si="0"/>
        <v>47</v>
      </c>
      <c r="B26" s="116">
        <v>17</v>
      </c>
      <c r="C26" s="163">
        <f>C25*(1+'Task 2'!$B$7)</f>
        <v>148756.28690445767</v>
      </c>
      <c r="D26" s="124" t="str">
        <f t="shared" ca="1" si="11"/>
        <v>NO</v>
      </c>
      <c r="E26" s="124" t="str">
        <f t="shared" ca="1" si="1"/>
        <v>NONE</v>
      </c>
      <c r="F26" s="166">
        <f t="shared" ca="1" si="2"/>
        <v>0</v>
      </c>
      <c r="G26" s="45" t="str">
        <f>IF(ISEVEN(B26), "YES", "NO")</f>
        <v>NO</v>
      </c>
      <c r="H26" s="45">
        <f>(C26-C25)*'Task 2'!$F$9</f>
        <v>1299.8122156700176</v>
      </c>
      <c r="I26" s="45">
        <f t="shared" si="12"/>
        <v>0</v>
      </c>
      <c r="J26" s="45">
        <f ca="1">'Task 2'!$F$6*(1+'Task 2'!$F$7)^'Task 3'!B26+'Task 2'!$F$10*'Task 3'!M26</f>
        <v>9107.399256969964</v>
      </c>
      <c r="K26" s="118">
        <f t="shared" ca="1" si="7"/>
        <v>27895.31848278598</v>
      </c>
      <c r="L26" s="118">
        <f t="shared" ca="1" si="8"/>
        <v>344887.57396899024</v>
      </c>
      <c r="M26" s="45">
        <f t="shared" ca="1" si="4"/>
        <v>8925.3772142674588</v>
      </c>
      <c r="N26" s="45">
        <f t="shared" si="5"/>
        <v>20825.880166624076</v>
      </c>
      <c r="O26" s="45">
        <f t="shared" ca="1" si="9"/>
        <v>55878.942364927156</v>
      </c>
      <c r="P26" s="45">
        <f t="shared" ca="1" si="10"/>
        <v>690866.92378455389</v>
      </c>
      <c r="Q26" s="45">
        <f t="shared" ca="1" si="6"/>
        <v>1035754.4977535441</v>
      </c>
    </row>
    <row r="27" spans="1:17" x14ac:dyDescent="0.3">
      <c r="A27" s="5">
        <f t="shared" si="0"/>
        <v>48</v>
      </c>
      <c r="B27" s="116">
        <v>18</v>
      </c>
      <c r="C27" s="163">
        <f>C26*(1+'Task 2'!$B$7)</f>
        <v>153218.97551159139</v>
      </c>
      <c r="D27" s="124" t="str">
        <f t="shared" ca="1" si="11"/>
        <v>NO</v>
      </c>
      <c r="E27" s="124" t="str">
        <f t="shared" ca="1" si="1"/>
        <v>NONE</v>
      </c>
      <c r="F27" s="166">
        <f t="shared" ca="1" si="2"/>
        <v>0</v>
      </c>
      <c r="G27" s="45" t="str">
        <f>IF(ISEVEN(B27), "YES", "NO")</f>
        <v>YES</v>
      </c>
      <c r="H27" s="45">
        <f>(C27-C26)*'Task 2'!$F$9</f>
        <v>1338.8065821401162</v>
      </c>
      <c r="I27" s="45">
        <f t="shared" si="12"/>
        <v>1338.8065821401162</v>
      </c>
      <c r="J27" s="45">
        <f ca="1">'Task 2'!$F$6*(1+'Task 2'!$F$7)^'Task 3'!B27+'Task 2'!$F$10*'Task 3'!M27</f>
        <v>12199.474405199973</v>
      </c>
      <c r="K27" s="118">
        <f t="shared" ca="1" si="7"/>
        <v>30352.399111806171</v>
      </c>
      <c r="L27" s="118">
        <f t="shared" ca="1" si="8"/>
        <v>386100.64090385631</v>
      </c>
      <c r="M27" s="45">
        <f t="shared" ca="1" si="4"/>
        <v>19918.46681650688</v>
      </c>
      <c r="N27" s="45">
        <f t="shared" si="5"/>
        <v>21450.656571622796</v>
      </c>
      <c r="O27" s="45">
        <f t="shared" ca="1" si="9"/>
        <v>60546.994330275018</v>
      </c>
      <c r="P27" s="45">
        <f t="shared" ca="1" si="10"/>
        <v>772864.5746864517</v>
      </c>
      <c r="Q27" s="45">
        <f t="shared" ca="1" si="6"/>
        <v>1158965.215590308</v>
      </c>
    </row>
    <row r="28" spans="1:17" x14ac:dyDescent="0.3">
      <c r="A28" s="5">
        <f t="shared" si="0"/>
        <v>49</v>
      </c>
      <c r="B28" s="116">
        <v>19</v>
      </c>
      <c r="C28" s="163">
        <f>C27*(1+'Task 2'!$B$7)</f>
        <v>157815.54477693915</v>
      </c>
      <c r="D28" s="124" t="str">
        <f t="shared" ca="1" si="11"/>
        <v>NO</v>
      </c>
      <c r="E28" s="124" t="str">
        <f t="shared" ca="1" si="1"/>
        <v>NONE</v>
      </c>
      <c r="F28" s="166">
        <f t="shared" ca="1" si="2"/>
        <v>0</v>
      </c>
      <c r="G28" s="45" t="str">
        <f>IF(ISEVEN(B28), "YES", "NO")</f>
        <v>NO</v>
      </c>
      <c r="H28" s="45">
        <f>(C28-C27)*'Task 2'!$F$9</f>
        <v>1378.9707796043278</v>
      </c>
      <c r="I28" s="45">
        <f t="shared" si="12"/>
        <v>0</v>
      </c>
      <c r="J28" s="45">
        <f ca="1">'Task 2'!$F$6*(1+'Task 2'!$F$7)^'Task 3'!B28+'Task 2'!$F$10*'Task 3'!M28</f>
        <v>13498.933515262135</v>
      </c>
      <c r="K28" s="118">
        <f t="shared" ca="1" si="7"/>
        <v>33965.963825625069</v>
      </c>
      <c r="L28" s="118">
        <f t="shared" ca="1" si="8"/>
        <v>433565.53824474354</v>
      </c>
      <c r="M28" s="45">
        <f t="shared" ca="1" si="4"/>
        <v>23672.33171654087</v>
      </c>
      <c r="N28" s="45">
        <f t="shared" si="5"/>
        <v>22094.176268771484</v>
      </c>
      <c r="O28" s="45">
        <f t="shared" ca="1" si="9"/>
        <v>67571.493831193977</v>
      </c>
      <c r="P28" s="45">
        <f t="shared" ca="1" si="10"/>
        <v>862530.24478641711</v>
      </c>
      <c r="Q28" s="45">
        <f t="shared" ca="1" si="6"/>
        <v>1296095.7830311607</v>
      </c>
    </row>
    <row r="29" spans="1:17" x14ac:dyDescent="0.3">
      <c r="A29" s="5">
        <f t="shared" si="0"/>
        <v>50</v>
      </c>
      <c r="B29" s="116">
        <v>20</v>
      </c>
      <c r="C29" s="163">
        <f>C28*(1+'Task 2'!$B$7)</f>
        <v>162550.01112024733</v>
      </c>
      <c r="D29" s="124" t="str">
        <f t="shared" ca="1" si="11"/>
        <v>NO</v>
      </c>
      <c r="E29" s="124" t="str">
        <f t="shared" ca="1" si="1"/>
        <v>NONE</v>
      </c>
      <c r="F29" s="166">
        <f t="shared" ca="1" si="2"/>
        <v>0</v>
      </c>
      <c r="G29" s="45" t="str">
        <f>IF(ISEVEN(B29), "YES", "NO")</f>
        <v>YES</v>
      </c>
      <c r="H29" s="45">
        <f>(C29-C28)*'Task 2'!$F$9</f>
        <v>1420.3399029924562</v>
      </c>
      <c r="I29" s="45">
        <f t="shared" si="12"/>
        <v>1420.3399029924562</v>
      </c>
      <c r="J29" s="45">
        <f ca="1">'Task 2'!$F$6*(1+'Task 2'!$F$7)^'Task 3'!B29+'Task 2'!$F$10*'Task 3'!M29</f>
        <v>9991.7682544363543</v>
      </c>
      <c r="K29" s="118">
        <f t="shared" ca="1" si="7"/>
        <v>37702.371052430295</v>
      </c>
      <c r="L29" s="118">
        <f t="shared" ca="1" si="8"/>
        <v>479839.33764861774</v>
      </c>
      <c r="M29" s="45">
        <f t="shared" ca="1" si="4"/>
        <v>8127.5005560123673</v>
      </c>
      <c r="N29" s="45">
        <f t="shared" si="5"/>
        <v>22757.001556834628</v>
      </c>
      <c r="O29" s="45">
        <f t="shared" ca="1" si="9"/>
        <v>75249.415939176411</v>
      </c>
      <c r="P29" s="45">
        <f t="shared" ca="1" si="10"/>
        <v>960536.66228242812</v>
      </c>
      <c r="Q29" s="45">
        <f t="shared" ca="1" si="6"/>
        <v>1440375.9999310458</v>
      </c>
    </row>
    <row r="30" spans="1:17" x14ac:dyDescent="0.3">
      <c r="A30" s="5">
        <f t="shared" si="0"/>
        <v>51</v>
      </c>
      <c r="B30" s="116">
        <v>21</v>
      </c>
      <c r="C30" s="163">
        <f>C29*(1+'Task 2'!$B$7)</f>
        <v>167426.51145385476</v>
      </c>
      <c r="D30" s="124" t="str">
        <f t="shared" ca="1" si="11"/>
        <v>YES</v>
      </c>
      <c r="E30" s="124" t="str">
        <f t="shared" ca="1" si="1"/>
        <v>MAJOR</v>
      </c>
      <c r="F30" s="166">
        <f t="shared" ca="1" si="2"/>
        <v>0.25</v>
      </c>
      <c r="G30" s="45" t="str">
        <f>IF(ISEVEN(B30), "YES", "NO")</f>
        <v>NO</v>
      </c>
      <c r="H30" s="45">
        <f>(C30-C29)*'Task 2'!$F$9</f>
        <v>1462.9501000822288</v>
      </c>
      <c r="I30" s="45">
        <f t="shared" si="12"/>
        <v>0</v>
      </c>
      <c r="J30" s="45">
        <f ca="1">'Task 2'!$F$6*(1+'Task 2'!$F$7)^'Task 3'!B30+'Task 2'!$F$10*'Task 3'!M30</f>
        <v>8357.8877712049252</v>
      </c>
      <c r="K30" s="118">
        <f t="shared" ca="1" si="7"/>
        <v>31122.573120513698</v>
      </c>
      <c r="L30" s="118">
        <f t="shared" ca="1" si="8"/>
        <v>519319.79854033637</v>
      </c>
      <c r="M30" s="45">
        <f t="shared" ca="1" si="4"/>
        <v>0</v>
      </c>
      <c r="N30" s="45">
        <f t="shared" si="5"/>
        <v>23439.711603539668</v>
      </c>
      <c r="O30" s="45">
        <f t="shared" ca="1" si="9"/>
        <v>62728.493835230445</v>
      </c>
      <c r="P30" s="45">
        <f t="shared" ca="1" si="10"/>
        <v>1046704.8677211982</v>
      </c>
      <c r="Q30" s="45">
        <f t="shared" ca="1" si="6"/>
        <v>1566024.6662615347</v>
      </c>
    </row>
    <row r="31" spans="1:17" x14ac:dyDescent="0.3">
      <c r="A31" s="5">
        <f t="shared" si="0"/>
        <v>52</v>
      </c>
      <c r="B31" s="116">
        <v>22</v>
      </c>
      <c r="C31" s="163">
        <f>C30*(1+'Task 2'!$B$7)</f>
        <v>172449.3067974704</v>
      </c>
      <c r="D31" s="124" t="str">
        <f t="shared" ca="1" si="11"/>
        <v>NO</v>
      </c>
      <c r="E31" s="124" t="str">
        <f t="shared" ca="1" si="1"/>
        <v>NONE</v>
      </c>
      <c r="F31" s="166">
        <f t="shared" ca="1" si="2"/>
        <v>0</v>
      </c>
      <c r="G31" s="45" t="str">
        <f>IF(ISEVEN(B31), "YES", "NO")</f>
        <v>YES</v>
      </c>
      <c r="H31" s="45">
        <f>(C31-C30)*'Task 2'!$F$9</f>
        <v>1506.8386030846916</v>
      </c>
      <c r="I31" s="45">
        <f t="shared" si="12"/>
        <v>1506.8386030846916</v>
      </c>
      <c r="J31" s="45">
        <f ca="1">'Task 2'!$F$6*(1+'Task 2'!$F$7)^'Task 3'!B31+'Task 2'!$F$10*'Task 3'!M31</f>
        <v>13518.138096695606</v>
      </c>
      <c r="K31" s="118">
        <f t="shared" ca="1" si="7"/>
        <v>45291.224614147723</v>
      </c>
      <c r="L31" s="118">
        <f t="shared" ca="1" si="8"/>
        <v>576622.32264809497</v>
      </c>
      <c r="M31" s="45">
        <f t="shared" ca="1" si="4"/>
        <v>18969.423747721743</v>
      </c>
      <c r="N31" s="45">
        <f t="shared" si="5"/>
        <v>24142.902951645858</v>
      </c>
      <c r="O31" s="45">
        <f t="shared" ca="1" si="9"/>
        <v>91022.060507191753</v>
      </c>
      <c r="P31" s="45">
        <f t="shared" ca="1" si="10"/>
        <v>1161869.8311800358</v>
      </c>
      <c r="Q31" s="45">
        <f t="shared" ca="1" si="6"/>
        <v>1738492.1538281308</v>
      </c>
    </row>
    <row r="32" spans="1:17" x14ac:dyDescent="0.3">
      <c r="A32" s="5">
        <f t="shared" si="0"/>
        <v>53</v>
      </c>
      <c r="B32" s="116">
        <v>23</v>
      </c>
      <c r="C32" s="163">
        <f>C31*(1+'Task 2'!$B$7)</f>
        <v>177622.78600139453</v>
      </c>
      <c r="D32" s="124" t="str">
        <f t="shared" ca="1" si="11"/>
        <v>NO</v>
      </c>
      <c r="E32" s="124" t="str">
        <f t="shared" ca="1" si="1"/>
        <v>NONE</v>
      </c>
      <c r="F32" s="166">
        <f t="shared" ca="1" si="2"/>
        <v>0</v>
      </c>
      <c r="G32" s="45" t="str">
        <f>IF(ISEVEN(B32), "YES", "NO")</f>
        <v>NO</v>
      </c>
      <c r="H32" s="45">
        <f>(C32-C31)*'Task 2'!$F$9</f>
        <v>1552.0437611772388</v>
      </c>
      <c r="I32" s="45">
        <f t="shared" si="12"/>
        <v>0</v>
      </c>
      <c r="J32" s="45">
        <f ca="1">'Task 2'!$F$6*(1+'Task 2'!$F$7)^'Task 3'!B32+'Task 2'!$F$10*'Task 3'!M32</f>
        <v>15431.368777802241</v>
      </c>
      <c r="K32" s="118">
        <f t="shared" ca="1" si="7"/>
        <v>48548.402696923571</v>
      </c>
      <c r="L32" s="118">
        <f t="shared" ca="1" si="8"/>
        <v>640602.09412282077</v>
      </c>
      <c r="M32" s="45">
        <f t="shared" ca="1" si="4"/>
        <v>24867.190040195237</v>
      </c>
      <c r="N32" s="45">
        <f t="shared" si="5"/>
        <v>24867.190040195237</v>
      </c>
      <c r="O32" s="45">
        <f t="shared" ca="1" si="9"/>
        <v>97312.435740058936</v>
      </c>
      <c r="P32" s="45">
        <f t="shared" ca="1" si="10"/>
        <v>1284049.45696029</v>
      </c>
      <c r="Q32" s="45">
        <f t="shared" ca="1" si="6"/>
        <v>1924651.5510831107</v>
      </c>
    </row>
    <row r="33" spans="1:17" x14ac:dyDescent="0.3">
      <c r="A33" s="5">
        <f t="shared" si="0"/>
        <v>54</v>
      </c>
      <c r="B33" s="116">
        <v>24</v>
      </c>
      <c r="C33" s="163">
        <f>C32*(1+'Task 2'!$B$7)</f>
        <v>182951.46958143637</v>
      </c>
      <c r="D33" s="124" t="str">
        <f t="shared" ca="1" si="11"/>
        <v>NO</v>
      </c>
      <c r="E33" s="124" t="str">
        <f t="shared" ca="1" si="1"/>
        <v>NONE</v>
      </c>
      <c r="F33" s="166">
        <f t="shared" ca="1" si="2"/>
        <v>0</v>
      </c>
      <c r="G33" s="45" t="str">
        <f>IF(ISEVEN(B33), "YES", "NO")</f>
        <v>YES</v>
      </c>
      <c r="H33" s="45">
        <f>(C33-C32)*'Task 2'!$F$9</f>
        <v>1598.6050740125502</v>
      </c>
      <c r="I33" s="45">
        <f t="shared" si="12"/>
        <v>1598.6050740125502</v>
      </c>
      <c r="J33" s="45">
        <f ca="1">'Task 2'!$F$6*(1+'Task 2'!$F$7)^'Task 3'!B33+'Task 2'!$F$10*'Task 3'!M33</f>
        <v>14706.465244630603</v>
      </c>
      <c r="K33" s="118">
        <f t="shared" ca="1" si="7"/>
        <v>53735.301868131013</v>
      </c>
      <c r="L33" s="118">
        <f t="shared" ca="1" si="8"/>
        <v>707445.25616156985</v>
      </c>
      <c r="M33" s="45">
        <f t="shared" ca="1" si="4"/>
        <v>20124.661653957999</v>
      </c>
      <c r="N33" s="45">
        <f t="shared" si="5"/>
        <v>25613.205741401092</v>
      </c>
      <c r="O33" s="45">
        <f t="shared" ca="1" si="9"/>
        <v>107392.33834153866</v>
      </c>
      <c r="P33" s="45">
        <f t="shared" ca="1" si="10"/>
        <v>1417055.0010432298</v>
      </c>
      <c r="Q33" s="45">
        <f t="shared" ca="1" si="6"/>
        <v>2124500.2572047999</v>
      </c>
    </row>
    <row r="34" spans="1:17" x14ac:dyDescent="0.3">
      <c r="A34" s="5">
        <f t="shared" si="0"/>
        <v>55</v>
      </c>
      <c r="B34" s="116">
        <v>25</v>
      </c>
      <c r="C34" s="163">
        <f>C33*(1+'Task 2'!$B$7)</f>
        <v>188440.01366887946</v>
      </c>
      <c r="D34" s="124" t="str">
        <f t="shared" ca="1" si="11"/>
        <v>NO</v>
      </c>
      <c r="E34" s="124" t="str">
        <f t="shared" ca="1" si="1"/>
        <v>NONE</v>
      </c>
      <c r="F34" s="166">
        <f t="shared" ca="1" si="2"/>
        <v>0</v>
      </c>
      <c r="G34" s="45" t="str">
        <f>IF(ISEVEN(B34), "YES", "NO")</f>
        <v>NO</v>
      </c>
      <c r="H34" s="45">
        <f>(C34-C33)*'Task 2'!$F$9</f>
        <v>1646.5632262329279</v>
      </c>
      <c r="I34" s="45">
        <f t="shared" si="12"/>
        <v>0</v>
      </c>
      <c r="J34" s="45">
        <f ca="1">'Task 2'!$F$6*(1+'Task 2'!$F$7)^'Task 3'!B34+'Task 2'!$F$10*'Task 3'!M34</f>
        <v>19109.965471969932</v>
      </c>
      <c r="K34" s="118">
        <f t="shared" ca="1" si="7"/>
        <v>59577.528173950261</v>
      </c>
      <c r="L34" s="118">
        <f t="shared" ca="1" si="8"/>
        <v>786132.74980749004</v>
      </c>
      <c r="M34" s="45">
        <f t="shared" ca="1" si="4"/>
        <v>35803.602597087098</v>
      </c>
      <c r="N34" s="45">
        <f t="shared" si="5"/>
        <v>26381.601913643128</v>
      </c>
      <c r="O34" s="45">
        <f t="shared" ca="1" si="9"/>
        <v>118361.80144246358</v>
      </c>
      <c r="P34" s="45">
        <f t="shared" ca="1" si="10"/>
        <v>1561798.4043993365</v>
      </c>
      <c r="Q34" s="45">
        <f t="shared" ca="1" si="6"/>
        <v>2347931.1542068264</v>
      </c>
    </row>
    <row r="35" spans="1:17" x14ac:dyDescent="0.3">
      <c r="A35" s="5">
        <f t="shared" si="0"/>
        <v>56</v>
      </c>
      <c r="B35" s="116">
        <v>26</v>
      </c>
      <c r="C35" s="163">
        <f>C34*(1+'Task 2'!$B$7)</f>
        <v>194093.21407894584</v>
      </c>
      <c r="D35" s="124" t="str">
        <f t="shared" ca="1" si="11"/>
        <v>NO</v>
      </c>
      <c r="E35" s="124" t="str">
        <f t="shared" ca="1" si="1"/>
        <v>NONE</v>
      </c>
      <c r="F35" s="166">
        <f t="shared" ca="1" si="2"/>
        <v>0</v>
      </c>
      <c r="G35" s="45" t="str">
        <f>IF(ISEVEN(B35), "YES", "NO")</f>
        <v>YES</v>
      </c>
      <c r="H35" s="45">
        <f>(C35-C34)*'Task 2'!$F$9</f>
        <v>1695.9601230199128</v>
      </c>
      <c r="I35" s="45">
        <f t="shared" si="12"/>
        <v>1695.9601230199128</v>
      </c>
      <c r="J35" s="45">
        <f ca="1">'Task 2'!$F$6*(1+'Task 2'!$F$7)^'Task 3'!B35+'Task 2'!$F$10*'Task 3'!M35</f>
        <v>20856.911802977724</v>
      </c>
      <c r="K35" s="118">
        <f t="shared" ca="1" si="7"/>
        <v>66173.152252058353</v>
      </c>
      <c r="L35" s="118">
        <f t="shared" ca="1" si="8"/>
        <v>871466.85373950622</v>
      </c>
      <c r="M35" s="45">
        <f t="shared" ca="1" si="4"/>
        <v>40759.574956578625</v>
      </c>
      <c r="N35" s="45">
        <f t="shared" si="5"/>
        <v>27173.04997105242</v>
      </c>
      <c r="O35" s="45">
        <f t="shared" ca="1" si="9"/>
        <v>130295.6592583719</v>
      </c>
      <c r="P35" s="45">
        <f t="shared" ca="1" si="10"/>
        <v>1719267.1136287609</v>
      </c>
      <c r="Q35" s="45">
        <f t="shared" ca="1" si="6"/>
        <v>2590733.967368267</v>
      </c>
    </row>
    <row r="36" spans="1:17" x14ac:dyDescent="0.3">
      <c r="A36" s="5">
        <f t="shared" si="0"/>
        <v>57</v>
      </c>
      <c r="B36" s="116">
        <v>27</v>
      </c>
      <c r="C36" s="163">
        <f>C35*(1+'Task 2'!$B$7)</f>
        <v>199916.01050131422</v>
      </c>
      <c r="D36" s="124" t="str">
        <f t="shared" ca="1" si="11"/>
        <v>YES</v>
      </c>
      <c r="E36" s="124" t="str">
        <f t="shared" ca="1" si="1"/>
        <v>MINOR</v>
      </c>
      <c r="F36" s="166">
        <f t="shared" ca="1" si="2"/>
        <v>0.05</v>
      </c>
      <c r="G36" s="45" t="str">
        <f>IF(ISEVEN(B36), "YES", "NO")</f>
        <v>NO</v>
      </c>
      <c r="H36" s="45">
        <f>(C36-C35)*'Task 2'!$F$9</f>
        <v>1746.8389267105142</v>
      </c>
      <c r="I36" s="45">
        <f t="shared" si="12"/>
        <v>0</v>
      </c>
      <c r="J36" s="45">
        <f ca="1">'Task 2'!$F$6*(1+'Task 2'!$F$7)^'Task 3'!B36+'Task 2'!$F$10*'Task 3'!M36</f>
        <v>16198.269229557576</v>
      </c>
      <c r="K36" s="118">
        <f t="shared" ca="1" si="7"/>
        <v>69149.113079290066</v>
      </c>
      <c r="L36" s="118">
        <f t="shared" ca="1" si="8"/>
        <v>956814.23604835384</v>
      </c>
      <c r="M36" s="45">
        <f t="shared" ca="1" si="4"/>
        <v>19991.601050131423</v>
      </c>
      <c r="N36" s="45">
        <f t="shared" si="5"/>
        <v>27988.241470183992</v>
      </c>
      <c r="O36" s="45">
        <f t="shared" ca="1" si="9"/>
        <v>136111.19216220779</v>
      </c>
      <c r="P36" s="45">
        <f t="shared" ca="1" si="10"/>
        <v>1883366.5472611526</v>
      </c>
      <c r="Q36" s="45">
        <f t="shared" ca="1" si="6"/>
        <v>2840180.7833095063</v>
      </c>
    </row>
    <row r="37" spans="1:17" x14ac:dyDescent="0.3">
      <c r="A37" s="5">
        <f t="shared" si="0"/>
        <v>58</v>
      </c>
      <c r="B37" s="116">
        <v>28</v>
      </c>
      <c r="C37" s="163">
        <f>C36*(1+'Task 2'!$B$7)</f>
        <v>205913.49081635365</v>
      </c>
      <c r="D37" s="124" t="str">
        <f t="shared" ca="1" si="11"/>
        <v>NO</v>
      </c>
      <c r="E37" s="124" t="str">
        <f t="shared" ca="1" si="1"/>
        <v>NONE</v>
      </c>
      <c r="F37" s="166">
        <f t="shared" ca="1" si="2"/>
        <v>0</v>
      </c>
      <c r="G37" s="45" t="str">
        <f>IF(ISEVEN(B37), "YES", "NO")</f>
        <v>YES</v>
      </c>
      <c r="H37" s="45">
        <f>(C37-C36)*'Task 2'!$F$9</f>
        <v>1799.2440945118287</v>
      </c>
      <c r="I37" s="45">
        <f t="shared" si="12"/>
        <v>1799.2440945118287</v>
      </c>
      <c r="J37" s="45">
        <f ca="1">'Task 2'!$F$6*(1+'Task 2'!$F$7)^'Task 3'!B37+'Task 2'!$F$10*'Task 3'!M37</f>
        <v>22570.845683234518</v>
      </c>
      <c r="K37" s="118">
        <f t="shared" ca="1" si="7"/>
        <v>71495.110966405948</v>
      </c>
      <c r="L37" s="118">
        <f t="shared" ca="1" si="8"/>
        <v>1049080.9486034827</v>
      </c>
      <c r="M37" s="45">
        <f t="shared" ca="1" si="4"/>
        <v>43241.833071434266</v>
      </c>
      <c r="N37" s="45">
        <f t="shared" si="5"/>
        <v>28827.888714289515</v>
      </c>
      <c r="O37" s="45">
        <f t="shared" ca="1" si="9"/>
        <v>139590.19382620731</v>
      </c>
      <c r="P37" s="45">
        <f t="shared" ca="1" si="10"/>
        <v>2051784.6298016496</v>
      </c>
      <c r="Q37" s="45">
        <f t="shared" ca="1" si="6"/>
        <v>3100865.5784051325</v>
      </c>
    </row>
    <row r="38" spans="1:17" x14ac:dyDescent="0.3">
      <c r="A38" s="5">
        <f t="shared" si="0"/>
        <v>59</v>
      </c>
      <c r="B38" s="116">
        <v>29</v>
      </c>
      <c r="C38" s="163">
        <f>C37*(1+'Task 2'!$B$7)</f>
        <v>212090.89554084427</v>
      </c>
      <c r="D38" s="124" t="str">
        <f t="shared" ca="1" si="11"/>
        <v>NO</v>
      </c>
      <c r="E38" s="124" t="str">
        <f t="shared" ca="1" si="1"/>
        <v>NONE</v>
      </c>
      <c r="F38" s="166">
        <f t="shared" ca="1" si="2"/>
        <v>0</v>
      </c>
      <c r="G38" s="45" t="str">
        <f>IF(ISEVEN(B38), "YES", "NO")</f>
        <v>NO</v>
      </c>
      <c r="H38" s="45">
        <f>(C38-C37)*'Task 2'!$F$9</f>
        <v>1853.2214173471875</v>
      </c>
      <c r="I38" s="45">
        <f t="shared" si="12"/>
        <v>0</v>
      </c>
      <c r="J38" s="45">
        <f ca="1">'Task 2'!$F$6*(1+'Task 2'!$F$7)^'Task 3'!B38+'Task 2'!$F$10*'Task 3'!M38</f>
        <v>19771.588130074306</v>
      </c>
      <c r="K38" s="118">
        <f t="shared" ca="1" si="7"/>
        <v>78026.235181549651</v>
      </c>
      <c r="L38" s="118">
        <f t="shared" ca="1" si="8"/>
        <v>1146878.7719151066</v>
      </c>
      <c r="M38" s="45">
        <f t="shared" ca="1" si="4"/>
        <v>29692.725375718201</v>
      </c>
      <c r="N38" s="45">
        <f t="shared" si="5"/>
        <v>29692.725375718201</v>
      </c>
      <c r="O38" s="45">
        <f t="shared" ca="1" si="9"/>
        <v>151947.84692794786</v>
      </c>
      <c r="P38" s="45">
        <f t="shared" ca="1" si="10"/>
        <v>2233425.2021053159</v>
      </c>
      <c r="Q38" s="45">
        <f t="shared" ca="1" si="6"/>
        <v>3380303.9740204224</v>
      </c>
    </row>
    <row r="39" spans="1:17" x14ac:dyDescent="0.3">
      <c r="A39" s="5">
        <f t="shared" si="0"/>
        <v>60</v>
      </c>
      <c r="B39" s="116">
        <v>30</v>
      </c>
      <c r="C39" s="163">
        <f>C38*(1+'Task 2'!$B$7)</f>
        <v>218453.6224070696</v>
      </c>
      <c r="D39" s="124" t="str">
        <f t="shared" ca="1" si="11"/>
        <v>NO</v>
      </c>
      <c r="E39" s="124" t="str">
        <f t="shared" ca="1" si="1"/>
        <v>NONE</v>
      </c>
      <c r="F39" s="166">
        <f t="shared" ca="1" si="2"/>
        <v>0</v>
      </c>
      <c r="G39" s="45" t="str">
        <f>IF(ISEVEN(B39), "YES", "NO")</f>
        <v>YES</v>
      </c>
      <c r="H39" s="45">
        <f>(C39-C38)*'Task 2'!$F$9</f>
        <v>1908.8180598675999</v>
      </c>
      <c r="I39" s="45">
        <f t="shared" si="12"/>
        <v>1908.8180598675999</v>
      </c>
      <c r="J39" s="45">
        <f ca="1">'Task 2'!$F$6*(1+'Task 2'!$F$7)^'Task 3'!B39+'Task 2'!$F$10*'Task 3'!M39</f>
        <v>24434.642301823143</v>
      </c>
      <c r="K39" s="118">
        <f t="shared" ca="1" si="7"/>
        <v>85505.879237835892</v>
      </c>
      <c r="L39" s="118">
        <f t="shared" ca="1" si="8"/>
        <v>1254910.4753948981</v>
      </c>
      <c r="M39" s="45">
        <f t="shared" ca="1" si="4"/>
        <v>45875.260705484616</v>
      </c>
      <c r="N39" s="45">
        <f t="shared" si="5"/>
        <v>30583.507136989749</v>
      </c>
      <c r="O39" s="45">
        <f t="shared" ca="1" si="9"/>
        <v>165272.6357746883</v>
      </c>
      <c r="P39" s="45">
        <f t="shared" ca="1" si="10"/>
        <v>2429281.345016994</v>
      </c>
      <c r="Q39" s="45">
        <f t="shared" ca="1" si="6"/>
        <v>3684191.8204118921</v>
      </c>
    </row>
    <row r="40" spans="1:17" x14ac:dyDescent="0.3">
      <c r="A40" s="5">
        <f t="shared" si="0"/>
        <v>61</v>
      </c>
      <c r="B40" s="116">
        <v>31</v>
      </c>
      <c r="C40" s="163">
        <f>C39*(1+'Task 2'!$B$7)</f>
        <v>225007.23107928169</v>
      </c>
      <c r="D40" s="124" t="str">
        <f t="shared" ca="1" si="11"/>
        <v>NO</v>
      </c>
      <c r="E40" s="124" t="str">
        <f t="shared" ca="1" si="1"/>
        <v>NONE</v>
      </c>
      <c r="F40" s="166">
        <f t="shared" ca="1" si="2"/>
        <v>0</v>
      </c>
      <c r="G40" s="45" t="str">
        <f>IF(ISEVEN(B40), "YES", "NO")</f>
        <v>NO</v>
      </c>
      <c r="H40" s="45">
        <f>(C40-C39)*'Task 2'!$F$9</f>
        <v>1966.0826016636245</v>
      </c>
      <c r="I40" s="45">
        <f t="shared" si="12"/>
        <v>0</v>
      </c>
      <c r="J40" s="45">
        <f ca="1">'Task 2'!$F$6*(1+'Task 2'!$F$7)^'Task 3'!B40+'Task 2'!$F$10*'Task 3'!M40</f>
        <v>16426.708870215614</v>
      </c>
      <c r="K40" s="118">
        <f t="shared" ca="1" si="7"/>
        <v>92807.614451353307</v>
      </c>
      <c r="L40" s="118">
        <f t="shared" ca="1" si="8"/>
        <v>1364144.7987164669</v>
      </c>
      <c r="M40" s="45">
        <f t="shared" ca="1" si="4"/>
        <v>11250.361553964085</v>
      </c>
      <c r="N40" s="45">
        <f t="shared" si="5"/>
        <v>31501.012351099438</v>
      </c>
      <c r="O40" s="45">
        <f t="shared" ca="1" si="9"/>
        <v>179637.11208787083</v>
      </c>
      <c r="P40" s="45">
        <f t="shared" ca="1" si="10"/>
        <v>2640419.4694559644</v>
      </c>
      <c r="Q40" s="45">
        <f t="shared" ca="1" si="6"/>
        <v>4004564.2681724313</v>
      </c>
    </row>
    <row r="41" spans="1:17" x14ac:dyDescent="0.3">
      <c r="A41" s="5">
        <f>A40+1</f>
        <v>62</v>
      </c>
      <c r="B41" s="116">
        <v>32</v>
      </c>
      <c r="C41" s="163">
        <f>C40*(1+'Task 2'!$B$7)</f>
        <v>231757.44801166013</v>
      </c>
      <c r="D41" s="124" t="str">
        <f t="shared" ca="1" si="11"/>
        <v>NO</v>
      </c>
      <c r="E41" s="124" t="str">
        <f t="shared" ca="1" si="1"/>
        <v>NONE</v>
      </c>
      <c r="F41" s="166">
        <f t="shared" ca="1" si="2"/>
        <v>0</v>
      </c>
      <c r="G41" s="45" t="str">
        <f>IF(ISEVEN(B41), "YES", "NO")</f>
        <v>YES</v>
      </c>
      <c r="H41" s="45">
        <f>(C41-C40)*'Task 2'!$F$9</f>
        <v>2025.065079713534</v>
      </c>
      <c r="I41" s="45">
        <f t="shared" si="12"/>
        <v>2025.065079713534</v>
      </c>
      <c r="J41" s="45">
        <f ca="1">'Task 2'!$F$6*(1+'Task 2'!$F$7)^'Task 3'!B41+'Task 2'!$F$10*'Task 3'!M41</f>
        <v>14874.218025839971</v>
      </c>
      <c r="K41" s="118">
        <f t="shared" ca="1" si="7"/>
        <v>100668.38822218841</v>
      </c>
      <c r="L41" s="118">
        <f t="shared" ca="1" si="8"/>
        <v>1477662.3398847817</v>
      </c>
      <c r="M41" s="45">
        <f t="shared" ca="1" si="4"/>
        <v>2317.5744801166015</v>
      </c>
      <c r="N41" s="45">
        <f t="shared" si="5"/>
        <v>32446.042721632421</v>
      </c>
      <c r="O41" s="45">
        <f t="shared" ca="1" si="9"/>
        <v>195119.1823889646</v>
      </c>
      <c r="P41" s="45">
        <f t="shared" ca="1" si="10"/>
        <v>2867984.6945665614</v>
      </c>
      <c r="Q41" s="45">
        <f t="shared" ca="1" si="6"/>
        <v>4345647.0344513431</v>
      </c>
    </row>
    <row r="42" spans="1:17" x14ac:dyDescent="0.3">
      <c r="A42" s="5">
        <f t="shared" si="0"/>
        <v>63</v>
      </c>
      <c r="B42" s="116">
        <v>33</v>
      </c>
      <c r="C42" s="163">
        <f>C41*(1+'Task 2'!$B$7)</f>
        <v>238710.17145200993</v>
      </c>
      <c r="D42" s="124" t="str">
        <f t="shared" ca="1" si="11"/>
        <v>NO</v>
      </c>
      <c r="E42" s="124" t="str">
        <f t="shared" ca="1" si="1"/>
        <v>NONE</v>
      </c>
      <c r="F42" s="166">
        <f t="shared" ca="1" si="2"/>
        <v>0</v>
      </c>
      <c r="G42" s="45" t="str">
        <f>IF(ISEVEN(B42), "YES", "NO")</f>
        <v>NO</v>
      </c>
      <c r="H42" s="45">
        <f>(C42-C41)*'Task 2'!$F$9</f>
        <v>2085.8170321049402</v>
      </c>
      <c r="I42" s="45">
        <f t="shared" si="12"/>
        <v>0</v>
      </c>
      <c r="J42" s="45">
        <f ca="1">'Task 2'!$F$6*(1+'Task 2'!$F$7)^'Task 3'!B42+'Task 2'!$F$10*'Task 3'!M42</f>
        <v>15606.341054731387</v>
      </c>
      <c r="K42" s="118">
        <f t="shared" ca="1" si="7"/>
        <v>86609.583494491773</v>
      </c>
      <c r="L42" s="118">
        <f t="shared" ca="1" si="8"/>
        <v>1579878.2644340049</v>
      </c>
      <c r="M42" s="45">
        <f t="shared" ca="1" si="4"/>
        <v>2387.1017145200994</v>
      </c>
      <c r="N42" s="45">
        <f t="shared" si="5"/>
        <v>33419.42400328139</v>
      </c>
      <c r="O42" s="45">
        <f t="shared" ca="1" si="9"/>
        <v>168281.43887705088</v>
      </c>
      <c r="P42" s="45">
        <f t="shared" ca="1" si="10"/>
        <v>3069685.5574468938</v>
      </c>
      <c r="Q42" s="45">
        <f t="shared" ca="1" si="6"/>
        <v>4649563.8218808984</v>
      </c>
    </row>
    <row r="43" spans="1:17" x14ac:dyDescent="0.3">
      <c r="A43" s="5">
        <f t="shared" si="0"/>
        <v>64</v>
      </c>
      <c r="B43" s="116">
        <v>34</v>
      </c>
      <c r="C43" s="163">
        <f>C42*(1+'Task 2'!$B$7)</f>
        <v>245871.47659557025</v>
      </c>
      <c r="D43" s="124" t="str">
        <f t="shared" ca="1" si="11"/>
        <v>NO</v>
      </c>
      <c r="E43" s="124" t="str">
        <f t="shared" ca="1" si="1"/>
        <v>NONE</v>
      </c>
      <c r="F43" s="166">
        <f t="shared" ca="1" si="2"/>
        <v>0</v>
      </c>
      <c r="G43" s="45" t="str">
        <f>IF(ISEVEN(B43), "YES", "NO")</f>
        <v>YES</v>
      </c>
      <c r="H43" s="45">
        <f>(C43-C42)*'Task 2'!$F$9</f>
        <v>2148.3915430680936</v>
      </c>
      <c r="I43" s="45">
        <f t="shared" si="12"/>
        <v>2148.3915430680936</v>
      </c>
      <c r="J43" s="45">
        <f ca="1">'Task 2'!$F$6*(1+'Task 2'!$F$7)^'Task 3'!B43+'Task 2'!$F$10*'Task 3'!M43</f>
        <v>29282.975120162795</v>
      </c>
      <c r="K43" s="118">
        <f t="shared" ca="1" si="7"/>
        <v>93331.351894141742</v>
      </c>
      <c r="L43" s="118">
        <f t="shared" ca="1" si="8"/>
        <v>1700344.1999052414</v>
      </c>
      <c r="M43" s="45">
        <f t="shared" ca="1" si="4"/>
        <v>54091.724851025458</v>
      </c>
      <c r="N43" s="45">
        <f t="shared" si="5"/>
        <v>34422.00672337984</v>
      </c>
      <c r="O43" s="45">
        <f t="shared" ca="1" si="9"/>
        <v>180038.23872187591</v>
      </c>
      <c r="P43" s="45">
        <f t="shared" ca="1" si="10"/>
        <v>3284145.8028921494</v>
      </c>
      <c r="Q43" s="45">
        <f t="shared" ca="1" si="6"/>
        <v>4984490.0027973913</v>
      </c>
    </row>
    <row r="44" spans="1:17" x14ac:dyDescent="0.3">
      <c r="A44" s="5">
        <f t="shared" si="0"/>
        <v>65</v>
      </c>
      <c r="B44" s="116">
        <v>35</v>
      </c>
      <c r="C44" s="163">
        <f>C43*(1+'Task 2'!$B$7)</f>
        <v>253247.62089343736</v>
      </c>
      <c r="D44" s="124" t="str">
        <f t="shared" ca="1" si="11"/>
        <v>YES</v>
      </c>
      <c r="E44" s="124" t="str">
        <f t="shared" ca="1" si="1"/>
        <v>MAJOR</v>
      </c>
      <c r="F44" s="166">
        <f t="shared" ca="1" si="2"/>
        <v>0.28000000000000003</v>
      </c>
      <c r="G44" s="45" t="str">
        <f>IF(ISEVEN(B44), "YES", "NO")</f>
        <v>NO</v>
      </c>
      <c r="H44" s="45">
        <f>(C44-C43)*'Task 2'!$F$9</f>
        <v>2212.8432893601334</v>
      </c>
      <c r="I44" s="45">
        <f t="shared" si="12"/>
        <v>0</v>
      </c>
      <c r="J44" s="45">
        <f ca="1">'Task 2'!$F$6*(1+'Task 2'!$F$7)^'Task 3'!B44+'Task 2'!$F$10*'Task 3'!M44</f>
        <v>19080.522311711127</v>
      </c>
      <c r="K44" s="118">
        <f t="shared" ca="1" si="7"/>
        <v>71803.176399779943</v>
      </c>
      <c r="L44" s="118">
        <f t="shared" ca="1" si="8"/>
        <v>1791227.8986167326</v>
      </c>
      <c r="M44" s="45">
        <f t="shared" ca="1" si="4"/>
        <v>10129.904835737494</v>
      </c>
      <c r="N44" s="45">
        <f t="shared" si="5"/>
        <v>35454.666925081234</v>
      </c>
      <c r="O44" s="45">
        <f t="shared" ca="1" si="9"/>
        <v>138626.51561956757</v>
      </c>
      <c r="P44" s="45">
        <f t="shared" ca="1" si="10"/>
        <v>3458226.9854367981</v>
      </c>
      <c r="Q44" s="45">
        <f t="shared" ca="1" si="6"/>
        <v>5249454.8840535302</v>
      </c>
    </row>
    <row r="45" spans="1:17" ht="15" thickBot="1" x14ac:dyDescent="0.35"/>
    <row r="46" spans="1:17" ht="78.599999999999994" thickBot="1" x14ac:dyDescent="0.35">
      <c r="E46" s="62" t="s">
        <v>42</v>
      </c>
      <c r="F46" s="63" t="s">
        <v>75</v>
      </c>
      <c r="G46" s="63" t="s">
        <v>76</v>
      </c>
      <c r="H46" s="63" t="s">
        <v>77</v>
      </c>
    </row>
    <row r="47" spans="1:17" ht="16.2" thickBot="1" x14ac:dyDescent="0.35">
      <c r="E47" s="64">
        <v>0</v>
      </c>
      <c r="F47" s="65">
        <v>1</v>
      </c>
      <c r="G47" s="66">
        <v>0</v>
      </c>
      <c r="H47" s="66">
        <v>0</v>
      </c>
    </row>
    <row r="48" spans="1:17" ht="16.2" thickBot="1" x14ac:dyDescent="0.35">
      <c r="E48" s="64">
        <v>41</v>
      </c>
      <c r="F48" s="65">
        <v>0.8</v>
      </c>
      <c r="G48" s="65">
        <v>0.2</v>
      </c>
      <c r="H48" s="66">
        <v>0</v>
      </c>
    </row>
    <row r="49" spans="5:8" ht="16.2" thickBot="1" x14ac:dyDescent="0.35">
      <c r="E49" s="64">
        <v>46</v>
      </c>
      <c r="F49" s="65">
        <v>0.75</v>
      </c>
      <c r="G49" s="65">
        <v>0.25</v>
      </c>
      <c r="H49" s="66">
        <v>0</v>
      </c>
    </row>
    <row r="50" spans="5:8" ht="16.2" thickBot="1" x14ac:dyDescent="0.35">
      <c r="E50" s="64">
        <v>51</v>
      </c>
      <c r="F50" s="65">
        <v>0.7</v>
      </c>
      <c r="G50" s="65">
        <v>0.3</v>
      </c>
      <c r="H50" s="66">
        <v>0</v>
      </c>
    </row>
    <row r="51" spans="5:8" ht="16.2" thickBot="1" x14ac:dyDescent="0.35">
      <c r="E51" s="64">
        <v>56</v>
      </c>
      <c r="F51" s="65">
        <v>0.6</v>
      </c>
      <c r="G51" s="65">
        <v>0.3</v>
      </c>
      <c r="H51" s="65">
        <v>0.1</v>
      </c>
    </row>
    <row r="52" spans="5:8" ht="16.2" thickBot="1" x14ac:dyDescent="0.35">
      <c r="E52" s="64">
        <v>61</v>
      </c>
      <c r="F52" s="65">
        <v>0.4</v>
      </c>
      <c r="G52" s="65">
        <v>0.4</v>
      </c>
      <c r="H52" s="65">
        <v>0.2</v>
      </c>
    </row>
    <row r="54" spans="5:8" ht="15.6" x14ac:dyDescent="0.3">
      <c r="E54" s="74" t="s">
        <v>78</v>
      </c>
      <c r="F54" s="75">
        <v>0.1</v>
      </c>
      <c r="G54" s="75">
        <v>0.04</v>
      </c>
      <c r="H54" s="75">
        <v>0.01</v>
      </c>
    </row>
  </sheetData>
  <pageMargins left="0.7" right="0.7" top="0.75" bottom="0.75" header="0.3" footer="0.3"/>
  <pageSetup orientation="portrait" horizontalDpi="360" verticalDpi="36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DataAnalysisTask1</vt:lpstr>
      <vt:lpstr>Task 1</vt:lpstr>
      <vt:lpstr>Task 2</vt:lpstr>
      <vt:lpstr>Task 3</vt:lpstr>
    </vt:vector>
  </TitlesOfParts>
  <Company>The University of Texas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konanap</dc:creator>
  <cp:lastModifiedBy>Matt</cp:lastModifiedBy>
  <dcterms:created xsi:type="dcterms:W3CDTF">2010-02-01T03:53:43Z</dcterms:created>
  <dcterms:modified xsi:type="dcterms:W3CDTF">2016-02-15T23:10:41Z</dcterms:modified>
</cp:coreProperties>
</file>