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44035\Downloads\"/>
    </mc:Choice>
  </mc:AlternateContent>
  <xr:revisionPtr revIDLastSave="0" documentId="8_{D5A09F0A-1EA8-4157-93AD-1CA6E611939E}" xr6:coauthVersionLast="47" xr6:coauthVersionMax="47" xr10:uidLastSave="{00000000-0000-0000-0000-000000000000}"/>
  <bookViews>
    <workbookView xWindow="-120" yWindow="-120" windowWidth="29040" windowHeight="15840" xr2:uid="{31C5425F-BC13-4302-9BBD-3DD5E823DBEE}"/>
  </bookViews>
  <sheets>
    <sheet name="9.13.202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3" l="1"/>
  <c r="J17" i="3"/>
  <c r="E17" i="3"/>
  <c r="D16" i="3"/>
  <c r="D18" i="3"/>
  <c r="D22" i="3"/>
  <c r="D20" i="3"/>
  <c r="E21" i="3"/>
  <c r="F21" i="3" s="1"/>
  <c r="C9" i="3"/>
  <c r="E19" i="3" s="1"/>
  <c r="E20" i="3" l="1"/>
  <c r="F19" i="3"/>
  <c r="E18" i="3"/>
  <c r="F18" i="3" s="1"/>
  <c r="D9" i="3"/>
  <c r="F17" i="3"/>
  <c r="E22" i="3" l="1"/>
  <c r="F22" i="3" s="1"/>
  <c r="F20" i="3"/>
  <c r="E16" i="3"/>
  <c r="F16" i="3" s="1"/>
  <c r="G16" i="3" s="1"/>
  <c r="H16" i="3" l="1"/>
  <c r="I17" i="3" s="1"/>
  <c r="G20" i="3"/>
  <c r="I16" i="3" l="1"/>
  <c r="K17" i="3" s="1"/>
  <c r="H20" i="3"/>
  <c r="L17" i="3" l="1"/>
  <c r="I21" i="3"/>
  <c r="I20" i="3"/>
  <c r="L21" i="3" l="1"/>
  <c r="K21" i="3"/>
  <c r="M21" i="3"/>
  <c r="P17" i="3" l="1"/>
  <c r="Q17" i="3"/>
  <c r="S29" i="3" s="1"/>
  <c r="P28" i="3"/>
  <c r="O17" i="3"/>
  <c r="O28" i="3"/>
  <c r="N17" i="3"/>
  <c r="Q29" i="3" s="1"/>
  <c r="R29" i="3" l="1"/>
</calcChain>
</file>

<file path=xl/sharedStrings.xml><?xml version="1.0" encoding="utf-8"?>
<sst xmlns="http://schemas.openxmlformats.org/spreadsheetml/2006/main" count="68" uniqueCount="66">
  <si>
    <t>ZQU2</t>
  </si>
  <si>
    <t>ZQV2</t>
  </si>
  <si>
    <t>ZQX2</t>
  </si>
  <si>
    <t>ZQZ2</t>
  </si>
  <si>
    <t>ZQF3</t>
  </si>
  <si>
    <t>ZQG3</t>
  </si>
  <si>
    <t>ZQH3</t>
  </si>
  <si>
    <t>ZQJ3</t>
  </si>
  <si>
    <t>ZQK3</t>
  </si>
  <si>
    <t>ZQM3</t>
  </si>
  <si>
    <t>ZQN3</t>
  </si>
  <si>
    <t>Implied Rate</t>
  </si>
  <si>
    <t>October</t>
  </si>
  <si>
    <t>October (No FOMC)</t>
  </si>
  <si>
    <t>Price</t>
  </si>
  <si>
    <t>Sept (Avg)</t>
  </si>
  <si>
    <t>Methodology:</t>
  </si>
  <si>
    <t>Days</t>
  </si>
  <si>
    <t>Sept (Start)</t>
  </si>
  <si>
    <t>Sept (End)</t>
  </si>
  <si>
    <t>3. Avg. Month Price = Daily Settle Price</t>
  </si>
  <si>
    <t>Nov (Start)</t>
  </si>
  <si>
    <t>Nov (End)</t>
  </si>
  <si>
    <t>Start here --&gt;</t>
  </si>
  <si>
    <t>FFER Start = [ (Avg FFER) - (% days after meet.)*(FFER End) ] / (% days before meet.)</t>
  </si>
  <si>
    <t>% Days</t>
  </si>
  <si>
    <t>FFER End = [ (Avg. FFER) - (% days before meet.)*(FFER Start) ] / (% days after meet.)</t>
  </si>
  <si>
    <t>Monthly Change</t>
  </si>
  <si>
    <t xml:space="preserve">        7.1. =((Monthly Change)/25)*100</t>
  </si>
  <si>
    <t># Hikes Breakdown</t>
  </si>
  <si>
    <t>25bps</t>
  </si>
  <si>
    <t>50bps</t>
  </si>
  <si>
    <t>75bps</t>
  </si>
  <si>
    <t>100bps</t>
  </si>
  <si>
    <t>Hike Size Probabilities</t>
  </si>
  <si>
    <t>125bps
(75 &amp; 50)</t>
  </si>
  <si>
    <t>150bps
(75 &amp; 75)</t>
  </si>
  <si>
    <t>150bps
(100 &amp; 50)</t>
  </si>
  <si>
    <t>175bps
(100 &amp; 75)</t>
  </si>
  <si>
    <t>Cumulative Probabilities</t>
  </si>
  <si>
    <t>Current Target Rate: 225 - 250 bps</t>
  </si>
  <si>
    <t>Sept. 2022</t>
  </si>
  <si>
    <t>Nov. 2022</t>
  </si>
  <si>
    <t>300 - 325 (+75)</t>
  </si>
  <si>
    <t>325 - 350 (+100)</t>
  </si>
  <si>
    <t>350 - 375 (+125)</t>
  </si>
  <si>
    <t>375 - 400 (+150)</t>
  </si>
  <si>
    <t>400 - 425 (+175)</t>
  </si>
  <si>
    <t>Target Rate Range</t>
  </si>
  <si>
    <t>1. Get daily FF settlement prices by contract.</t>
  </si>
  <si>
    <r>
      <t>4. Because FFER(end)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FFER(beg)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</si>
  <si>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FFER Start/End using the formulas above.</t>
  </si>
  <si>
    <t>2. Find the nearest upcoming month without an FOMC meeting.</t>
  </si>
  <si>
    <t>6. Calculate the Monthly Change for months with FOMC meetings (Col. G).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</si>
  <si>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</si>
  <si>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</si>
  <si>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</si>
  <si>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</si>
  <si>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</si>
  <si>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>8. We can start calculating the probability tree - start with the nearest FOMC meeting:</t>
  </si>
  <si>
    <t>7. Calculate the # of 25bp hikes based off of Monthly Change (Col. H):</t>
  </si>
  <si>
    <t xml:space="preserve">        9.1. As a reminder, each successive FOMC month will add a branch to this probability tree. That means one or more extra probability to calculate.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</si>
  <si>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</si>
  <si>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Nov (Avg)</t>
  </si>
  <si>
    <t># of 25bp Hikes</t>
  </si>
  <si>
    <t>Daily Settle Prices as of September 12,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</si>
</sst>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2" xfId="0" applyNumberFormat="1" applyBorder="1"/>
    <xf numFmtId="0" fontId="0" fillId="0" borderId="7" xfId="0" applyBorder="1" applyAlignment="1">
      <alignment horizontal="center" vertical="center" wrapText="1"/>
    </xf>
    <xf numFmtId="166" fontId="0" fillId="0" borderId="0" xfId="1" applyNumberFormat="1" applyFont="1"/>
    <xf numFmtId="9" fontId="0" fillId="0" borderId="2" xfId="1" applyFont="1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0" fillId="0" borderId="8" xfId="1" applyNumberFormat="1" applyFont="1" applyBorder="1"/>
    <xf numFmtId="166" fontId="0" fillId="0" borderId="3" xfId="1" applyNumberFormat="1" applyFont="1" applyBorder="1"/>
    <xf numFmtId="166" fontId="0" fillId="0" borderId="1" xfId="1" applyNumberFormat="1" applyFont="1" applyBorder="1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9" fontId="0" fillId="0" borderId="1" xfId="1" applyFont="1" applyBorder="1"/>
    <xf numFmtId="164" fontId="0" fillId="0" borderId="1" xfId="0" applyNumberFormat="1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65" fontId="0" fillId="5" borderId="0" xfId="0" applyNumberFormat="1" applyFill="1"/>
    <xf numFmtId="0" fontId="0" fillId="5" borderId="2" xfId="0" applyFill="1" applyBorder="1"/>
    <xf numFmtId="165" fontId="0" fillId="6" borderId="0" xfId="0" applyNumberFormat="1" applyFill="1"/>
    <xf numFmtId="165" fontId="0" fillId="6" borderId="2" xfId="0" applyNumberFormat="1" applyFill="1" applyBorder="1"/>
    <xf numFmtId="166" fontId="0" fillId="6" borderId="0" xfId="1" applyNumberFormat="1" applyFont="1" applyFill="1"/>
    <xf numFmtId="166" fontId="0" fillId="6" borderId="1" xfId="1" applyNumberFormat="1" applyFont="1" applyFill="1" applyBorder="1"/>
    <xf numFmtId="166" fontId="0" fillId="6" borderId="4" xfId="1" applyNumberFormat="1" applyFont="1" applyFill="1" applyBorder="1"/>
    <xf numFmtId="0" fontId="0" fillId="6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2:U41"/>
  <sheetViews>
    <sheetView tabSelected="1" topLeftCell="A4" workbookViewId="0">
      <selection activeCell="T16" sqref="T16"/>
    </sheetView>
  </sheetViews>
  <sheetFormatPr defaultColWidth="8.875" defaultRowHeight="14.25" x14ac:dyDescent="0.2"/>
  <cols>
    <col min="1" max="1" width="12.5" customWidth="1"/>
    <col min="2" max="2" width="13.625" customWidth="1"/>
    <col min="4" max="4" width="11.625" customWidth="1"/>
    <col min="5" max="5" width="10.625" customWidth="1"/>
    <col min="9" max="9" width="10.875" customWidth="1"/>
    <col min="10" max="10" width="10.5" customWidth="1"/>
    <col min="13" max="13" width="9.875" customWidth="1"/>
    <col min="14" max="14" width="10.5" customWidth="1"/>
    <col min="15" max="15" width="10.125" customWidth="1"/>
    <col min="16" max="17" width="9.5" customWidth="1"/>
  </cols>
  <sheetData>
    <row r="2" spans="2:21" ht="15" x14ac:dyDescent="0.25">
      <c r="B2" s="3" t="s">
        <v>65</v>
      </c>
    </row>
    <row r="3" spans="2:21" x14ac:dyDescent="0.2">
      <c r="B3" s="1">
        <v>44805</v>
      </c>
      <c r="C3" s="1">
        <v>44835</v>
      </c>
      <c r="D3" s="1">
        <v>44866</v>
      </c>
      <c r="E3" s="1">
        <v>44896</v>
      </c>
      <c r="F3" s="1">
        <v>44927</v>
      </c>
      <c r="G3" s="1">
        <v>44958</v>
      </c>
      <c r="H3" s="1">
        <v>44986</v>
      </c>
      <c r="I3" s="1">
        <v>45017</v>
      </c>
      <c r="J3" s="1">
        <v>45047</v>
      </c>
      <c r="K3" s="1">
        <v>45078</v>
      </c>
      <c r="L3" s="1">
        <v>45108</v>
      </c>
      <c r="N3" s="33" t="s">
        <v>26</v>
      </c>
      <c r="O3" s="27"/>
      <c r="P3" s="27"/>
      <c r="Q3" s="27"/>
      <c r="R3" s="27"/>
      <c r="S3" s="27"/>
      <c r="T3" s="27"/>
      <c r="U3" s="28"/>
    </row>
    <row r="4" spans="2:2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N4" s="29" t="s">
        <v>24</v>
      </c>
      <c r="O4" s="26"/>
      <c r="P4" s="26"/>
      <c r="Q4" s="26"/>
      <c r="R4" s="26"/>
      <c r="S4" s="26"/>
      <c r="T4" s="26"/>
      <c r="U4" s="11"/>
    </row>
    <row r="5" spans="2:21" x14ac:dyDescent="0.2">
      <c r="B5" s="34">
        <v>97.447500000000005</v>
      </c>
      <c r="C5" s="34">
        <v>96.94</v>
      </c>
      <c r="D5" s="34">
        <v>96.43</v>
      </c>
      <c r="E5" s="4">
        <v>96.234999999999999</v>
      </c>
      <c r="F5" s="4">
        <v>96.114999999999995</v>
      </c>
      <c r="G5" s="4">
        <v>96.02</v>
      </c>
      <c r="H5" s="4">
        <v>96.004999999999995</v>
      </c>
      <c r="I5" s="4">
        <v>95.984999999999999</v>
      </c>
      <c r="J5" s="4">
        <v>96.004999999999995</v>
      </c>
      <c r="K5" s="4">
        <v>96.034999999999997</v>
      </c>
      <c r="L5" s="4">
        <v>96.064999999999998</v>
      </c>
    </row>
    <row r="7" spans="2:21" ht="15" x14ac:dyDescent="0.25">
      <c r="B7" s="3"/>
    </row>
    <row r="8" spans="2:21" x14ac:dyDescent="0.2">
      <c r="C8" s="2" t="s">
        <v>14</v>
      </c>
      <c r="D8" s="2" t="s">
        <v>11</v>
      </c>
    </row>
    <row r="9" spans="2:21" x14ac:dyDescent="0.2">
      <c r="B9" s="7" t="s">
        <v>13</v>
      </c>
      <c r="C9" s="4">
        <f>C5</f>
        <v>96.94</v>
      </c>
      <c r="D9" s="4">
        <f>100-C9</f>
        <v>3.0600000000000023</v>
      </c>
    </row>
    <row r="13" spans="2:21" x14ac:dyDescent="0.2">
      <c r="J13" s="50" t="s">
        <v>34</v>
      </c>
      <c r="K13" s="51"/>
      <c r="L13" s="51"/>
      <c r="M13" s="52"/>
      <c r="N13" s="53" t="s">
        <v>39</v>
      </c>
      <c r="O13" s="54"/>
      <c r="P13" s="54"/>
      <c r="Q13" s="55"/>
    </row>
    <row r="14" spans="2:21" ht="28.5" x14ac:dyDescent="0.2">
      <c r="B14" s="11"/>
      <c r="C14" s="12" t="s">
        <v>17</v>
      </c>
      <c r="D14" s="13" t="s">
        <v>25</v>
      </c>
      <c r="E14" s="13" t="s">
        <v>14</v>
      </c>
      <c r="F14" s="32" t="s">
        <v>11</v>
      </c>
      <c r="G14" s="32" t="s">
        <v>27</v>
      </c>
      <c r="H14" s="32" t="s">
        <v>64</v>
      </c>
      <c r="I14" s="16" t="s">
        <v>29</v>
      </c>
      <c r="J14" s="12" t="s">
        <v>30</v>
      </c>
      <c r="K14" s="13" t="s">
        <v>31</v>
      </c>
      <c r="L14" s="13" t="s">
        <v>32</v>
      </c>
      <c r="M14" s="14" t="s">
        <v>33</v>
      </c>
      <c r="N14" s="9" t="s">
        <v>35</v>
      </c>
      <c r="O14" s="9" t="s">
        <v>36</v>
      </c>
      <c r="P14" s="9" t="s">
        <v>37</v>
      </c>
      <c r="Q14" s="16" t="s">
        <v>38</v>
      </c>
    </row>
    <row r="15" spans="2:21" x14ac:dyDescent="0.2">
      <c r="B15" s="10"/>
      <c r="I15" s="10"/>
      <c r="M15" s="10"/>
      <c r="Q15" s="10"/>
    </row>
    <row r="16" spans="2:21" x14ac:dyDescent="0.2">
      <c r="B16" s="10" t="s">
        <v>22</v>
      </c>
      <c r="C16">
        <v>29</v>
      </c>
      <c r="D16" s="6">
        <f>C16/(C16+C18)</f>
        <v>0.96666666666666667</v>
      </c>
      <c r="E16" s="4">
        <f>(E17-(D18*E18))/D16</f>
        <v>96.412413793103454</v>
      </c>
      <c r="F16" s="4">
        <f>100-E16</f>
        <v>3.5875862068965461</v>
      </c>
      <c r="G16" s="4">
        <f>F16-F18</f>
        <v>0.52758620689654379</v>
      </c>
      <c r="H16" s="36">
        <f>G16/25*100</f>
        <v>2.1103448275861751</v>
      </c>
      <c r="I16" s="38">
        <f>TRUNC(H16,0)</f>
        <v>2</v>
      </c>
      <c r="K16" s="4"/>
      <c r="L16" s="4"/>
      <c r="M16" s="10"/>
      <c r="N16" s="17"/>
      <c r="O16" s="17"/>
      <c r="P16" s="17"/>
      <c r="Q16" s="18"/>
    </row>
    <row r="17" spans="1:19" x14ac:dyDescent="0.2">
      <c r="B17" s="10" t="s">
        <v>63</v>
      </c>
      <c r="E17" s="34">
        <f>D5</f>
        <v>96.43</v>
      </c>
      <c r="F17" s="4">
        <f t="shared" ref="F17:F22" si="0">100-E17</f>
        <v>3.5699999999999932</v>
      </c>
      <c r="I17" s="39">
        <f>MOD(H16,1)</f>
        <v>0.11034482758617514</v>
      </c>
      <c r="J17" s="41">
        <f>IF(I16=0,1-I17,IF(I16=1,1-I17,0))</f>
        <v>0</v>
      </c>
      <c r="K17" s="42">
        <f>IF(I16=0,I17,IF(I16=1,I17,IF(I16=2,1-I17,0)))</f>
        <v>0.88965517241382486</v>
      </c>
      <c r="L17" s="42">
        <f>IF(I16=0,I17,IF(I16=1,I17,IF(I16=2,I17,IF(I16=3,1-I17,0))))</f>
        <v>0.11034482758617514</v>
      </c>
      <c r="M17" s="43">
        <v>0</v>
      </c>
      <c r="N17" s="44">
        <f>L21*K17</f>
        <v>0.84962068965513804</v>
      </c>
      <c r="O17" s="44">
        <f>L21*L17</f>
        <v>0.10537931034478923</v>
      </c>
      <c r="P17" s="44">
        <f>M21*K17</f>
        <v>4.0034482758686853E-2</v>
      </c>
      <c r="Q17" s="45">
        <f>M21*L17</f>
        <v>4.9655172413859104E-3</v>
      </c>
    </row>
    <row r="18" spans="1:19" x14ac:dyDescent="0.2">
      <c r="B18" s="10" t="s">
        <v>21</v>
      </c>
      <c r="C18">
        <v>1</v>
      </c>
      <c r="D18" s="6">
        <f>C18/(C18+C16)</f>
        <v>3.3333333333333333E-2</v>
      </c>
      <c r="E18" s="4">
        <f>E19</f>
        <v>96.94</v>
      </c>
      <c r="F18" s="4">
        <f t="shared" si="0"/>
        <v>3.0600000000000023</v>
      </c>
      <c r="I18" s="10"/>
      <c r="M18" s="10"/>
      <c r="Q18" s="10"/>
    </row>
    <row r="19" spans="1:19" x14ac:dyDescent="0.2">
      <c r="A19" s="8" t="s">
        <v>23</v>
      </c>
      <c r="B19" s="10" t="s">
        <v>12</v>
      </c>
      <c r="E19" s="34">
        <f>C9</f>
        <v>96.94</v>
      </c>
      <c r="F19" s="4">
        <f t="shared" si="0"/>
        <v>3.0600000000000023</v>
      </c>
      <c r="I19" s="10"/>
      <c r="M19" s="10"/>
      <c r="Q19" s="10"/>
    </row>
    <row r="20" spans="1:19" x14ac:dyDescent="0.2">
      <c r="B20" s="10" t="s">
        <v>19</v>
      </c>
      <c r="C20">
        <v>10</v>
      </c>
      <c r="D20" s="6">
        <f>C20/(C22+C20)</f>
        <v>0.33333333333333331</v>
      </c>
      <c r="E20" s="4">
        <f>E19</f>
        <v>96.94</v>
      </c>
      <c r="F20" s="4">
        <f t="shared" si="0"/>
        <v>3.0600000000000023</v>
      </c>
      <c r="G20" s="4">
        <f>F20-F22</f>
        <v>0.76125000000001819</v>
      </c>
      <c r="H20" s="36">
        <f>G20/25*100</f>
        <v>3.0450000000000728</v>
      </c>
      <c r="I20" s="38">
        <f>TRUNC(H20,0)</f>
        <v>3</v>
      </c>
      <c r="L20" s="4"/>
      <c r="M20" s="15"/>
      <c r="Q20" s="10"/>
    </row>
    <row r="21" spans="1:19" x14ac:dyDescent="0.2">
      <c r="B21" s="10" t="s">
        <v>15</v>
      </c>
      <c r="D21" s="6"/>
      <c r="E21" s="34">
        <f>B5</f>
        <v>97.447500000000005</v>
      </c>
      <c r="F21" s="4">
        <f t="shared" si="0"/>
        <v>2.5524999999999949</v>
      </c>
      <c r="I21" s="39">
        <f>MOD(H20,1)</f>
        <v>4.500000000007276E-2</v>
      </c>
      <c r="J21" s="41">
        <f>IF(I20=0,1-I21,IF(I20=1,1-I21,0))</f>
        <v>0</v>
      </c>
      <c r="K21" s="41">
        <f>IF(I20=0,I21,IF(I20=1,I21,IF(I20=2,1-I21,0)))</f>
        <v>0</v>
      </c>
      <c r="L21" s="41">
        <f>IF(I20=0,I21,IF(I20=1,I21,IF(I20=2,I21,IF(I20=3,1-I21,0))))</f>
        <v>0.95499999999992724</v>
      </c>
      <c r="M21" s="43">
        <f>IF(I20-0,I21,IF(I20=1,I21,IF(I20=2,I21,IF(I20=3,I21,IF(I20=4,1-I21,0)))))</f>
        <v>4.500000000007276E-2</v>
      </c>
      <c r="Q21" s="10"/>
    </row>
    <row r="22" spans="1:19" x14ac:dyDescent="0.2">
      <c r="B22" s="11" t="s">
        <v>18</v>
      </c>
      <c r="C22" s="26">
        <v>20</v>
      </c>
      <c r="D22" s="30">
        <f>C22/(C22+C20)</f>
        <v>0.66666666666666663</v>
      </c>
      <c r="E22" s="31">
        <f>((E21)-(D20*E20))/D22</f>
        <v>97.701250000000016</v>
      </c>
      <c r="F22" s="31">
        <f t="shared" si="0"/>
        <v>2.2987499999999841</v>
      </c>
      <c r="G22" s="26"/>
      <c r="H22" s="26"/>
      <c r="I22" s="11"/>
      <c r="J22" s="26"/>
      <c r="K22" s="26"/>
      <c r="L22" s="26"/>
      <c r="M22" s="11"/>
      <c r="N22" s="26"/>
      <c r="O22" s="26"/>
      <c r="P22" s="26"/>
      <c r="Q22" s="11"/>
    </row>
    <row r="25" spans="1:19" ht="15" x14ac:dyDescent="0.25">
      <c r="B25" s="3" t="s">
        <v>16</v>
      </c>
      <c r="O25" s="25" t="s">
        <v>40</v>
      </c>
      <c r="P25" s="25"/>
      <c r="Q25" s="25"/>
      <c r="R25" s="25"/>
      <c r="S25" s="25"/>
    </row>
    <row r="26" spans="1:19" x14ac:dyDescent="0.2">
      <c r="B26" t="s">
        <v>49</v>
      </c>
      <c r="I26" s="6"/>
      <c r="O26" s="50" t="s">
        <v>48</v>
      </c>
      <c r="P26" s="51"/>
      <c r="Q26" s="51"/>
      <c r="R26" s="51"/>
      <c r="S26" s="52"/>
    </row>
    <row r="27" spans="1:19" ht="28.5" x14ac:dyDescent="0.2">
      <c r="B27" s="5" t="s">
        <v>52</v>
      </c>
      <c r="O27" s="19" t="s">
        <v>43</v>
      </c>
      <c r="P27" s="20" t="s">
        <v>44</v>
      </c>
      <c r="Q27" s="20" t="s">
        <v>45</v>
      </c>
      <c r="R27" s="20" t="s">
        <v>46</v>
      </c>
      <c r="S27" s="21" t="s">
        <v>47</v>
      </c>
    </row>
    <row r="28" spans="1:19" x14ac:dyDescent="0.2">
      <c r="B28" s="35" t="s">
        <v>20</v>
      </c>
      <c r="C28" s="35"/>
      <c r="D28" s="35"/>
      <c r="E28" s="35"/>
      <c r="N28" s="10" t="s">
        <v>41</v>
      </c>
      <c r="O28" s="46">
        <f>L21</f>
        <v>0.95499999999992724</v>
      </c>
      <c r="P28" s="46">
        <f>M21</f>
        <v>4.500000000007276E-2</v>
      </c>
      <c r="Q28" s="17">
        <v>0</v>
      </c>
      <c r="R28" s="17">
        <v>0</v>
      </c>
      <c r="S28" s="22">
        <v>0</v>
      </c>
    </row>
    <row r="29" spans="1:19" ht="18.75" x14ac:dyDescent="0.35">
      <c r="B29" t="s">
        <v>50</v>
      </c>
      <c r="N29" s="10" t="s">
        <v>42</v>
      </c>
      <c r="O29" s="23">
        <v>0</v>
      </c>
      <c r="P29" s="24">
        <v>0</v>
      </c>
      <c r="Q29" s="47">
        <f>N17</f>
        <v>0.84962068965513804</v>
      </c>
      <c r="R29" s="47">
        <f>O17+P17</f>
        <v>0.14541379310347607</v>
      </c>
      <c r="S29" s="48">
        <f>Q17</f>
        <v>4.9655172413859104E-3</v>
      </c>
    </row>
    <row r="30" spans="1:19" x14ac:dyDescent="0.2">
      <c r="B30" t="s">
        <v>51</v>
      </c>
    </row>
    <row r="31" spans="1:19" x14ac:dyDescent="0.2">
      <c r="B31" t="s">
        <v>53</v>
      </c>
    </row>
    <row r="32" spans="1:19" x14ac:dyDescent="0.2">
      <c r="B32" s="37" t="s">
        <v>60</v>
      </c>
      <c r="C32" s="37"/>
      <c r="D32" s="37"/>
      <c r="E32" s="37"/>
      <c r="F32" s="37"/>
      <c r="G32" s="37"/>
      <c r="H32" s="37"/>
    </row>
    <row r="33" spans="2:14" x14ac:dyDescent="0.2">
      <c r="B33" t="s">
        <v>28</v>
      </c>
    </row>
    <row r="34" spans="2:14" x14ac:dyDescent="0.2">
      <c r="B34" s="40" t="s">
        <v>54</v>
      </c>
      <c r="C34" s="40"/>
      <c r="D34" s="40"/>
      <c r="E34" s="40"/>
      <c r="F34" s="40"/>
      <c r="G34" s="40"/>
      <c r="H34" s="40"/>
      <c r="I34" s="40"/>
      <c r="J34" s="40"/>
    </row>
    <row r="35" spans="2:14" x14ac:dyDescent="0.2">
      <c r="B35" s="41" t="s">
        <v>59</v>
      </c>
      <c r="C35" s="41"/>
      <c r="D35" s="41"/>
      <c r="E35" s="41"/>
      <c r="F35" s="41"/>
      <c r="G35" s="41"/>
      <c r="H35" s="41"/>
      <c r="I35" s="41"/>
      <c r="J35" s="41"/>
      <c r="K35" s="41"/>
    </row>
    <row r="36" spans="2:14" x14ac:dyDescent="0.2">
      <c r="B36" s="41" t="s">
        <v>55</v>
      </c>
      <c r="C36" s="41"/>
      <c r="D36" s="41"/>
      <c r="E36" s="41"/>
      <c r="F36" s="41"/>
      <c r="G36" s="41"/>
      <c r="H36" s="41"/>
      <c r="I36" s="41"/>
      <c r="J36" s="41"/>
      <c r="K36" s="41"/>
    </row>
    <row r="37" spans="2:14" x14ac:dyDescent="0.2">
      <c r="B37" s="41" t="s">
        <v>56</v>
      </c>
      <c r="C37" s="41"/>
      <c r="D37" s="41"/>
      <c r="E37" s="41"/>
      <c r="F37" s="41"/>
      <c r="G37" s="41"/>
      <c r="H37" s="41"/>
      <c r="I37" s="41"/>
      <c r="J37" s="41"/>
      <c r="K37" s="41"/>
    </row>
    <row r="38" spans="2:14" x14ac:dyDescent="0.2">
      <c r="B38" s="41" t="s">
        <v>57</v>
      </c>
      <c r="C38" s="41"/>
      <c r="D38" s="41"/>
      <c r="E38" s="41"/>
      <c r="F38" s="41"/>
      <c r="G38" s="41"/>
      <c r="H38" s="41"/>
      <c r="I38" s="41"/>
      <c r="J38" s="41"/>
      <c r="K38" s="41"/>
    </row>
    <row r="39" spans="2:14" x14ac:dyDescent="0.2">
      <c r="B39" s="49" t="s">
        <v>58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</row>
    <row r="40" spans="2:14" x14ac:dyDescent="0.2">
      <c r="B40" s="49" t="s">
        <v>61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</row>
    <row r="41" spans="2:14" ht="18.75" x14ac:dyDescent="0.35">
      <c r="B41" s="49" t="s">
        <v>62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</sheetData>
  <mergeCells count="3">
    <mergeCell ref="J13:M13"/>
    <mergeCell ref="N13:Q13"/>
    <mergeCell ref="O26:S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9.13.2022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Dimitrov Lobao, Arthur</cp:lastModifiedBy>
  <dcterms:created xsi:type="dcterms:W3CDTF">2022-08-02T14:45:14Z</dcterms:created>
  <dcterms:modified xsi:type="dcterms:W3CDTF">2023-05-30T13:42:37Z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