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ale\Desktop\Excel\"/>
    </mc:Choice>
  </mc:AlternateContent>
  <xr:revisionPtr revIDLastSave="0" documentId="13_ncr:1_{396547B2-5759-4D61-B098-90A1816284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1" r:id="rId1"/>
    <sheet name="DCF" sheetId="2" r:id="rId2"/>
    <sheet name="Stato patrimoni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rl7yZN7hQj2Gn3eLRpfvx7HKidA=="/>
    </ext>
  </extLst>
</workbook>
</file>

<file path=xl/calcChain.xml><?xml version="1.0" encoding="utf-8"?>
<calcChain xmlns="http://schemas.openxmlformats.org/spreadsheetml/2006/main">
  <c r="AO38" i="2" l="1"/>
  <c r="AP38" i="2"/>
  <c r="AQ38" i="2"/>
  <c r="AR38" i="2"/>
  <c r="AS38" i="2"/>
  <c r="AT38" i="2"/>
  <c r="AU38" i="2"/>
  <c r="AV38" i="2"/>
  <c r="AW38" i="2"/>
  <c r="AL38" i="2"/>
  <c r="AM38" i="2"/>
  <c r="AN38" i="2"/>
  <c r="AB38" i="2"/>
  <c r="AC38" i="2"/>
  <c r="AD38" i="2"/>
  <c r="AE38" i="2"/>
  <c r="AF38" i="2"/>
  <c r="AG38" i="2"/>
  <c r="AH38" i="2"/>
  <c r="AI38" i="2"/>
  <c r="AJ38" i="2"/>
  <c r="AK38" i="2"/>
  <c r="AA38" i="2"/>
  <c r="V38" i="2"/>
  <c r="W38" i="2"/>
  <c r="X38" i="2"/>
  <c r="Y38" i="2"/>
  <c r="Z38" i="2"/>
  <c r="T38" i="2"/>
  <c r="U38" i="2"/>
  <c r="S38" i="2"/>
  <c r="D10" i="3"/>
  <c r="D12" i="3" s="1"/>
  <c r="D9" i="3"/>
  <c r="B8" i="3"/>
  <c r="B19" i="3" s="1"/>
  <c r="D5" i="3"/>
  <c r="D6" i="3" s="1"/>
  <c r="T45" i="2"/>
  <c r="L45" i="2"/>
  <c r="K45" i="2"/>
  <c r="I45" i="2"/>
  <c r="H45" i="2"/>
  <c r="G45" i="2"/>
  <c r="T44" i="2"/>
  <c r="L44" i="2"/>
  <c r="K44" i="2"/>
  <c r="I44" i="2"/>
  <c r="H44" i="2"/>
  <c r="G44" i="2"/>
  <c r="Z43" i="2"/>
  <c r="Y43" i="2"/>
  <c r="X43" i="2"/>
  <c r="W43" i="2"/>
  <c r="V43" i="2"/>
  <c r="T43" i="2"/>
  <c r="L43" i="2"/>
  <c r="K43" i="2"/>
  <c r="I43" i="2"/>
  <c r="H43" i="2"/>
  <c r="G43" i="2"/>
  <c r="T42" i="2"/>
  <c r="L42" i="2"/>
  <c r="K42" i="2"/>
  <c r="I42" i="2"/>
  <c r="H42" i="2"/>
  <c r="G42" i="2"/>
  <c r="T41" i="2"/>
  <c r="L41" i="2"/>
  <c r="K41" i="2"/>
  <c r="I41" i="2"/>
  <c r="H41" i="2"/>
  <c r="G41" i="2"/>
  <c r="T40" i="2"/>
  <c r="N40" i="2"/>
  <c r="L40" i="2"/>
  <c r="K40" i="2"/>
  <c r="I40" i="2"/>
  <c r="H40" i="2"/>
  <c r="G40" i="2"/>
  <c r="T36" i="2"/>
  <c r="S36" i="2"/>
  <c r="M36" i="2"/>
  <c r="N36" i="2" s="1"/>
  <c r="V36" i="2" s="1"/>
  <c r="W36" i="2" s="1"/>
  <c r="X36" i="2" s="1"/>
  <c r="Y36" i="2" s="1"/>
  <c r="Z36" i="2" s="1"/>
  <c r="L36" i="2"/>
  <c r="K36" i="2"/>
  <c r="I36" i="2"/>
  <c r="H36" i="2"/>
  <c r="G36" i="2"/>
  <c r="E36" i="2"/>
  <c r="D36" i="2"/>
  <c r="W35" i="2"/>
  <c r="X35" i="2" s="1"/>
  <c r="Y35" i="2" s="1"/>
  <c r="Z35" i="2" s="1"/>
  <c r="V35" i="2"/>
  <c r="T35" i="2"/>
  <c r="S35" i="2"/>
  <c r="N35" i="2"/>
  <c r="M35" i="2"/>
  <c r="L35" i="2"/>
  <c r="K35" i="2"/>
  <c r="I35" i="2"/>
  <c r="H35" i="2"/>
  <c r="G35" i="2"/>
  <c r="E35" i="2"/>
  <c r="D35" i="2"/>
  <c r="V34" i="2"/>
  <c r="W34" i="2" s="1"/>
  <c r="X34" i="2" s="1"/>
  <c r="Y34" i="2" s="1"/>
  <c r="Z34" i="2" s="1"/>
  <c r="T34" i="2"/>
  <c r="S34" i="2"/>
  <c r="N34" i="2"/>
  <c r="M34" i="2"/>
  <c r="L34" i="2"/>
  <c r="K34" i="2"/>
  <c r="J34" i="2"/>
  <c r="I34" i="2"/>
  <c r="H34" i="2"/>
  <c r="G34" i="2"/>
  <c r="E34" i="2"/>
  <c r="D34" i="2"/>
  <c r="Z30" i="2"/>
  <c r="Y30" i="2"/>
  <c r="X30" i="2"/>
  <c r="W30" i="2"/>
  <c r="V30" i="2"/>
  <c r="J22" i="2"/>
  <c r="F22" i="2"/>
  <c r="J19" i="2"/>
  <c r="F19" i="2"/>
  <c r="V17" i="2"/>
  <c r="W17" i="2" s="1"/>
  <c r="X17" i="2" s="1"/>
  <c r="Y17" i="2" s="1"/>
  <c r="Z17" i="2" s="1"/>
  <c r="U17" i="2"/>
  <c r="R17" i="2"/>
  <c r="J17" i="2"/>
  <c r="F17" i="2"/>
  <c r="L16" i="2"/>
  <c r="L18" i="2" s="1"/>
  <c r="D16" i="2"/>
  <c r="D18" i="2" s="1"/>
  <c r="M15" i="2"/>
  <c r="J15" i="2"/>
  <c r="J36" i="2" s="1"/>
  <c r="F15" i="2"/>
  <c r="F36" i="2" s="1"/>
  <c r="M14" i="2"/>
  <c r="J14" i="2"/>
  <c r="N14" i="2" s="1"/>
  <c r="F14" i="2"/>
  <c r="F35" i="2" s="1"/>
  <c r="U13" i="2"/>
  <c r="U34" i="2" s="1"/>
  <c r="N13" i="2"/>
  <c r="M13" i="2"/>
  <c r="J13" i="2"/>
  <c r="F13" i="2"/>
  <c r="F34" i="2" s="1"/>
  <c r="R12" i="2"/>
  <c r="R27" i="2" s="1"/>
  <c r="L12" i="2"/>
  <c r="L27" i="2" s="1"/>
  <c r="K12" i="2"/>
  <c r="K16" i="2" s="1"/>
  <c r="G12" i="2"/>
  <c r="G27" i="2" s="1"/>
  <c r="D12" i="2"/>
  <c r="D27" i="2" s="1"/>
  <c r="C12" i="2"/>
  <c r="C16" i="2" s="1"/>
  <c r="J11" i="2"/>
  <c r="F11" i="2"/>
  <c r="L10" i="2"/>
  <c r="L32" i="2" s="1"/>
  <c r="K10" i="2"/>
  <c r="K32" i="2" s="1"/>
  <c r="I10" i="2"/>
  <c r="I32" i="2" s="1"/>
  <c r="H10" i="2"/>
  <c r="H32" i="2" s="1"/>
  <c r="G10" i="2"/>
  <c r="E10" i="2"/>
  <c r="E12" i="2" s="1"/>
  <c r="D10" i="2"/>
  <c r="C10" i="2"/>
  <c r="V9" i="2"/>
  <c r="W9" i="2" s="1"/>
  <c r="X9" i="2" s="1"/>
  <c r="Y9" i="2" s="1"/>
  <c r="Z9" i="2" s="1"/>
  <c r="U9" i="2"/>
  <c r="J9" i="2"/>
  <c r="F9" i="2"/>
  <c r="M8" i="2"/>
  <c r="N8" i="2" s="1"/>
  <c r="U8" i="2" s="1"/>
  <c r="J8" i="2"/>
  <c r="J45" i="2" s="1"/>
  <c r="F8" i="2"/>
  <c r="N7" i="2"/>
  <c r="M7" i="2"/>
  <c r="U7" i="2" s="1"/>
  <c r="J7" i="2"/>
  <c r="J44" i="2" s="1"/>
  <c r="F7" i="2"/>
  <c r="M6" i="2"/>
  <c r="J6" i="2"/>
  <c r="J43" i="2" s="1"/>
  <c r="F6" i="2"/>
  <c r="M5" i="2"/>
  <c r="M10" i="2" s="1"/>
  <c r="J5" i="2"/>
  <c r="J42" i="2" s="1"/>
  <c r="F5" i="2"/>
  <c r="U4" i="2"/>
  <c r="M4" i="2"/>
  <c r="J4" i="2"/>
  <c r="N4" i="2" s="1"/>
  <c r="F4" i="2"/>
  <c r="N3" i="2"/>
  <c r="M3" i="2"/>
  <c r="U3" i="2" s="1"/>
  <c r="J3" i="2"/>
  <c r="J40" i="2" s="1"/>
  <c r="F3" i="2"/>
  <c r="F10" i="2" s="1"/>
  <c r="F12" i="2" s="1"/>
  <c r="D6" i="1"/>
  <c r="D5" i="1"/>
  <c r="D7" i="1" s="1"/>
  <c r="I3" i="1"/>
  <c r="I5" i="1" s="1"/>
  <c r="M12" i="2" l="1"/>
  <c r="M11" i="2" s="1"/>
  <c r="M32" i="2"/>
  <c r="M16" i="2"/>
  <c r="M18" i="2" s="1"/>
  <c r="C18" i="2"/>
  <c r="C28" i="2"/>
  <c r="U45" i="2"/>
  <c r="V8" i="2"/>
  <c r="W8" i="2" s="1"/>
  <c r="X8" i="2" s="1"/>
  <c r="Y8" i="2" s="1"/>
  <c r="Z8" i="2" s="1"/>
  <c r="T10" i="2"/>
  <c r="N15" i="2"/>
  <c r="U15" i="2" s="1"/>
  <c r="E27" i="2"/>
  <c r="E16" i="2"/>
  <c r="K18" i="2"/>
  <c r="K28" i="2"/>
  <c r="D20" i="2"/>
  <c r="D30" i="2"/>
  <c r="D20" i="3"/>
  <c r="B20" i="3"/>
  <c r="N10" i="2"/>
  <c r="F27" i="2"/>
  <c r="F16" i="2"/>
  <c r="U41" i="2"/>
  <c r="V4" i="2"/>
  <c r="W4" i="2" s="1"/>
  <c r="X4" i="2" s="1"/>
  <c r="Y4" i="2" s="1"/>
  <c r="Z4" i="2" s="1"/>
  <c r="L20" i="2"/>
  <c r="L30" i="2"/>
  <c r="V7" i="2"/>
  <c r="W7" i="2" s="1"/>
  <c r="X7" i="2" s="1"/>
  <c r="Y7" i="2" s="1"/>
  <c r="Z7" i="2" s="1"/>
  <c r="U44" i="2"/>
  <c r="U14" i="2"/>
  <c r="V3" i="2"/>
  <c r="U40" i="2"/>
  <c r="S10" i="2"/>
  <c r="N5" i="2"/>
  <c r="H12" i="2"/>
  <c r="U5" i="2"/>
  <c r="I12" i="2"/>
  <c r="D28" i="2"/>
  <c r="L28" i="2"/>
  <c r="G32" i="2"/>
  <c r="N6" i="2"/>
  <c r="U6" i="2" s="1"/>
  <c r="G16" i="2"/>
  <c r="R16" i="2"/>
  <c r="C27" i="2"/>
  <c r="K27" i="2"/>
  <c r="J35" i="2"/>
  <c r="J41" i="2"/>
  <c r="B16" i="3"/>
  <c r="J10" i="2"/>
  <c r="J10" i="1"/>
  <c r="V13" i="2"/>
  <c r="W13" i="2" s="1"/>
  <c r="X13" i="2" s="1"/>
  <c r="Y13" i="2" s="1"/>
  <c r="Z13" i="2" s="1"/>
  <c r="U11" i="2" l="1"/>
  <c r="U36" i="2"/>
  <c r="V15" i="2"/>
  <c r="W15" i="2" s="1"/>
  <c r="X15" i="2" s="1"/>
  <c r="Y15" i="2" s="1"/>
  <c r="Z15" i="2" s="1"/>
  <c r="E18" i="2"/>
  <c r="E28" i="2"/>
  <c r="R28" i="2"/>
  <c r="R18" i="2"/>
  <c r="R20" i="2" s="1"/>
  <c r="G28" i="2"/>
  <c r="G18" i="2"/>
  <c r="H16" i="2"/>
  <c r="H27" i="2"/>
  <c r="C20" i="2"/>
  <c r="C30" i="2"/>
  <c r="U35" i="2"/>
  <c r="V14" i="2"/>
  <c r="W14" i="2" s="1"/>
  <c r="X14" i="2" s="1"/>
  <c r="Y14" i="2" s="1"/>
  <c r="Z14" i="2" s="1"/>
  <c r="I16" i="2"/>
  <c r="I27" i="2"/>
  <c r="N12" i="2"/>
  <c r="N11" i="2"/>
  <c r="N16" i="2"/>
  <c r="N18" i="2" s="1"/>
  <c r="N32" i="2"/>
  <c r="V5" i="2"/>
  <c r="W5" i="2" s="1"/>
  <c r="X5" i="2" s="1"/>
  <c r="Y5" i="2" s="1"/>
  <c r="Z5" i="2" s="1"/>
  <c r="U42" i="2"/>
  <c r="J32" i="2"/>
  <c r="J12" i="2"/>
  <c r="U12" i="2"/>
  <c r="L29" i="2"/>
  <c r="H13" i="1"/>
  <c r="H15" i="1" s="1"/>
  <c r="M19" i="2"/>
  <c r="K20" i="2"/>
  <c r="K30" i="2"/>
  <c r="V6" i="2"/>
  <c r="W6" i="2" s="1"/>
  <c r="X6" i="2" s="1"/>
  <c r="Y6" i="2" s="1"/>
  <c r="Z6" i="2" s="1"/>
  <c r="U43" i="2"/>
  <c r="S32" i="2"/>
  <c r="S12" i="2"/>
  <c r="D29" i="2"/>
  <c r="D24" i="2"/>
  <c r="D23" i="2"/>
  <c r="T32" i="2"/>
  <c r="T12" i="2"/>
  <c r="U10" i="2"/>
  <c r="U32" i="2" s="1"/>
  <c r="W3" i="2"/>
  <c r="F28" i="2"/>
  <c r="F18" i="2"/>
  <c r="D25" i="2" l="1"/>
  <c r="L24" i="2"/>
  <c r="D4" i="1"/>
  <c r="D9" i="1" s="1"/>
  <c r="J16" i="2"/>
  <c r="J27" i="2"/>
  <c r="M20" i="2"/>
  <c r="R24" i="2"/>
  <c r="R23" i="2"/>
  <c r="R29" i="2"/>
  <c r="W10" i="2"/>
  <c r="X3" i="2"/>
  <c r="S27" i="2"/>
  <c r="S16" i="2"/>
  <c r="V10" i="2"/>
  <c r="K29" i="2"/>
  <c r="K24" i="2"/>
  <c r="G30" i="2"/>
  <c r="G20" i="2"/>
  <c r="F20" i="2"/>
  <c r="F30" i="2"/>
  <c r="I28" i="2"/>
  <c r="I18" i="2"/>
  <c r="N19" i="2"/>
  <c r="N20" i="2" s="1"/>
  <c r="C29" i="2"/>
  <c r="C24" i="2"/>
  <c r="C23" i="2" s="1"/>
  <c r="E20" i="2"/>
  <c r="E30" i="2"/>
  <c r="T27" i="2"/>
  <c r="T16" i="2"/>
  <c r="U16" i="2"/>
  <c r="U27" i="2"/>
  <c r="H28" i="2"/>
  <c r="H18" i="2"/>
  <c r="N23" i="2" l="1"/>
  <c r="E24" i="2"/>
  <c r="E25" i="2" s="1"/>
  <c r="E29" i="2"/>
  <c r="V32" i="2"/>
  <c r="V12" i="2"/>
  <c r="V16" i="2" s="1"/>
  <c r="M23" i="2"/>
  <c r="H30" i="2"/>
  <c r="H20" i="2"/>
  <c r="F24" i="2"/>
  <c r="F23" i="2"/>
  <c r="F29" i="2"/>
  <c r="S28" i="2"/>
  <c r="S18" i="2"/>
  <c r="S20" i="2" s="1"/>
  <c r="U19" i="2"/>
  <c r="X10" i="2"/>
  <c r="Y3" i="2"/>
  <c r="J18" i="2"/>
  <c r="J28" i="2"/>
  <c r="I20" i="2"/>
  <c r="I30" i="2"/>
  <c r="U28" i="2"/>
  <c r="U18" i="2"/>
  <c r="W32" i="2"/>
  <c r="W12" i="2"/>
  <c r="W16" i="2" s="1"/>
  <c r="D12" i="1"/>
  <c r="AE29" i="2" s="1"/>
  <c r="G24" i="2"/>
  <c r="G25" i="2" s="1"/>
  <c r="G29" i="2"/>
  <c r="K23" i="2"/>
  <c r="T28" i="2"/>
  <c r="T18" i="2"/>
  <c r="T20" i="2" s="1"/>
  <c r="U20" i="2"/>
  <c r="M24" i="2"/>
  <c r="N24" i="2" s="1"/>
  <c r="N22" i="2" s="1"/>
  <c r="L25" i="2"/>
  <c r="L23" i="2"/>
  <c r="L22" i="2"/>
  <c r="V28" i="2" l="1"/>
  <c r="V18" i="2"/>
  <c r="U29" i="2"/>
  <c r="T29" i="2"/>
  <c r="T24" i="2"/>
  <c r="W11" i="2"/>
  <c r="J20" i="2"/>
  <c r="J30" i="2"/>
  <c r="F25" i="2"/>
  <c r="V11" i="2"/>
  <c r="H29" i="2"/>
  <c r="H24" i="2"/>
  <c r="H25" i="2" s="1"/>
  <c r="X32" i="2"/>
  <c r="X12" i="2"/>
  <c r="X16" i="2" s="1"/>
  <c r="X11" i="2"/>
  <c r="E23" i="2"/>
  <c r="I29" i="2"/>
  <c r="I23" i="2"/>
  <c r="I24" i="2"/>
  <c r="Z3" i="2"/>
  <c r="Z10" i="2" s="1"/>
  <c r="Y10" i="2"/>
  <c r="W18" i="2"/>
  <c r="W28" i="2"/>
  <c r="G23" i="2"/>
  <c r="S23" i="2"/>
  <c r="S24" i="2"/>
  <c r="S25" i="2" s="1"/>
  <c r="S29" i="2"/>
  <c r="M22" i="2"/>
  <c r="X18" i="2" l="1"/>
  <c r="X28" i="2"/>
  <c r="V19" i="2"/>
  <c r="V20" i="2"/>
  <c r="T25" i="2"/>
  <c r="U24" i="2"/>
  <c r="I25" i="2"/>
  <c r="Y12" i="2"/>
  <c r="Y16" i="2" s="1"/>
  <c r="Y11" i="2"/>
  <c r="Y32" i="2"/>
  <c r="H23" i="2"/>
  <c r="T23" i="2"/>
  <c r="W20" i="2"/>
  <c r="W19" i="2"/>
  <c r="J29" i="2"/>
  <c r="J24" i="2"/>
  <c r="J23" i="2"/>
  <c r="D10" i="1"/>
  <c r="Z12" i="2"/>
  <c r="Z16" i="2" s="1"/>
  <c r="Z11" i="2"/>
  <c r="Z32" i="2"/>
  <c r="Y18" i="2" l="1"/>
  <c r="Y28" i="2"/>
  <c r="V24" i="2"/>
  <c r="W24" i="2" s="1"/>
  <c r="X24" i="2" s="1"/>
  <c r="Y24" i="2" s="1"/>
  <c r="Z24" i="2" s="1"/>
  <c r="U22" i="2"/>
  <c r="U23" i="2"/>
  <c r="X19" i="2"/>
  <c r="X20" i="2" s="1"/>
  <c r="J25" i="2"/>
  <c r="K25" i="2"/>
  <c r="W29" i="2"/>
  <c r="V29" i="2"/>
  <c r="Z28" i="2"/>
  <c r="Z18" i="2"/>
  <c r="X29" i="2" l="1"/>
  <c r="X23" i="2"/>
  <c r="X22" i="2"/>
  <c r="W23" i="2"/>
  <c r="W22" i="2"/>
  <c r="Y19" i="2"/>
  <c r="Y20" i="2" s="1"/>
  <c r="Z19" i="2"/>
  <c r="Z20" i="2"/>
  <c r="V23" i="2"/>
  <c r="V22" i="2"/>
  <c r="Y29" i="2" l="1"/>
  <c r="Y23" i="2"/>
  <c r="Y22" i="2"/>
  <c r="Z23" i="2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Z22" i="2"/>
  <c r="Z29" i="2"/>
  <c r="AA22" i="2" l="1"/>
  <c r="AE28" i="2" a="1"/>
  <c r="AE28" i="2" s="1"/>
  <c r="AE31" i="2" s="1"/>
  <c r="AB22" i="2" l="1"/>
  <c r="AC22" i="2" l="1"/>
  <c r="AD22" i="2" l="1"/>
  <c r="AE22" i="2" l="1"/>
  <c r="AF22" i="2" l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BP22" i="2" s="1"/>
  <c r="BQ22" i="2" s="1"/>
  <c r="BR22" i="2" s="1"/>
  <c r="BS22" i="2" s="1"/>
  <c r="BT22" i="2" s="1"/>
  <c r="BU22" i="2" s="1"/>
  <c r="BV22" i="2" s="1"/>
  <c r="BW22" i="2" s="1"/>
  <c r="BX22" i="2" s="1"/>
  <c r="BY22" i="2" s="1"/>
  <c r="BZ22" i="2" s="1"/>
  <c r="CA22" i="2" s="1"/>
  <c r="CB22" i="2" s="1"/>
  <c r="CC22" i="2" s="1"/>
  <c r="CD22" i="2" s="1"/>
  <c r="CE22" i="2" s="1"/>
  <c r="CF22" i="2" s="1"/>
  <c r="CG22" i="2" s="1"/>
  <c r="CH22" i="2" s="1"/>
  <c r="CI22" i="2" s="1"/>
  <c r="CJ22" i="2" s="1"/>
  <c r="CK22" i="2" s="1"/>
  <c r="CL22" i="2" s="1"/>
  <c r="CM22" i="2" s="1"/>
  <c r="CN22" i="2" s="1"/>
  <c r="CO22" i="2" s="1"/>
  <c r="CP22" i="2" s="1"/>
  <c r="CQ22" i="2" s="1"/>
  <c r="CR22" i="2" s="1"/>
  <c r="CS22" i="2" s="1"/>
  <c r="CT22" i="2" s="1"/>
  <c r="CU22" i="2" s="1"/>
  <c r="CV22" i="2" s="1"/>
  <c r="CW22" i="2" s="1"/>
  <c r="CX22" i="2" s="1"/>
  <c r="CY22" i="2" s="1"/>
  <c r="CZ22" i="2" s="1"/>
  <c r="DA22" i="2" s="1"/>
  <c r="DB22" i="2" s="1"/>
  <c r="DC22" i="2" s="1"/>
  <c r="DD22" i="2" s="1"/>
  <c r="DE22" i="2" s="1"/>
  <c r="DF22" i="2" s="1"/>
  <c r="DG22" i="2" s="1"/>
  <c r="DH22" i="2" s="1"/>
  <c r="DI22" i="2" s="1"/>
  <c r="DJ22" i="2" s="1"/>
  <c r="DK22" i="2" s="1"/>
  <c r="DL22" i="2" s="1"/>
  <c r="DM22" i="2" s="1"/>
  <c r="DN22" i="2" s="1"/>
  <c r="DO22" i="2" s="1"/>
  <c r="DP22" i="2" s="1"/>
  <c r="DQ22" i="2" s="1"/>
  <c r="DR22" i="2" s="1"/>
  <c r="DS22" i="2" s="1"/>
  <c r="DT22" i="2" s="1"/>
  <c r="DU22" i="2" s="1"/>
  <c r="DV22" i="2" s="1"/>
  <c r="DW22" i="2" s="1"/>
  <c r="DX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ID#AAAAZh_8FAA
Gale    (2022-05-23 21:55:17)
Single Product Assumption (Definitiva)</t>
        </r>
      </text>
    </comment>
    <comment ref="L32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ID#AAAAdUgaGf8
Matteo Galeone    (2022-07-28 23:57:14)
16% adjusted for currency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JV8WeLIQJl8G+bKh28e/yGce9A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ID#AAAAdUgaGfc
Matteo Galeone    (2022-07-28 22:16:59)
Accumulated other comprehensive income (loss) + Retained Earnings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ISsh/K5+QeuRNfcd+6V/42VeC5A=="/>
    </ext>
  </extLst>
</comments>
</file>

<file path=xl/sharedStrings.xml><?xml version="1.0" encoding="utf-8"?>
<sst xmlns="http://schemas.openxmlformats.org/spreadsheetml/2006/main" count="129" uniqueCount="117">
  <si>
    <t>Alphabet</t>
  </si>
  <si>
    <t>Price</t>
  </si>
  <si>
    <t>Class A</t>
  </si>
  <si>
    <t>Class B</t>
  </si>
  <si>
    <t>MC</t>
  </si>
  <si>
    <t>M USD</t>
  </si>
  <si>
    <t>Class C</t>
  </si>
  <si>
    <t>Debt</t>
  </si>
  <si>
    <t>Q2 2022</t>
  </si>
  <si>
    <t>M</t>
  </si>
  <si>
    <t>Cash</t>
  </si>
  <si>
    <t>Net Debt</t>
  </si>
  <si>
    <t>EV</t>
  </si>
  <si>
    <t>Buyback in M</t>
  </si>
  <si>
    <t>Stock base comp</t>
  </si>
  <si>
    <t>EV/EBIT</t>
  </si>
  <si>
    <t>Buyback in M of shares</t>
  </si>
  <si>
    <t>EV/Share</t>
  </si>
  <si>
    <t>Products</t>
  </si>
  <si>
    <t>Net Income</t>
  </si>
  <si>
    <t>Google Search</t>
  </si>
  <si>
    <t>Diluted EPS</t>
  </si>
  <si>
    <t>Google Advertising</t>
  </si>
  <si>
    <t>SO</t>
  </si>
  <si>
    <t>Google Services</t>
  </si>
  <si>
    <t>Android</t>
  </si>
  <si>
    <t>Pixel</t>
  </si>
  <si>
    <t>Recensioni</t>
  </si>
  <si>
    <t>Cyber Security</t>
  </si>
  <si>
    <t>Mandiant</t>
  </si>
  <si>
    <t>Youtube</t>
  </si>
  <si>
    <t>Quanto sta crescendo?</t>
  </si>
  <si>
    <t>Google Pay</t>
  </si>
  <si>
    <t>Google Cloud</t>
  </si>
  <si>
    <t>Other bets</t>
  </si>
  <si>
    <t>Weimo</t>
  </si>
  <si>
    <t>Wing</t>
  </si>
  <si>
    <t>MOAT gigantesco</t>
  </si>
  <si>
    <t>Monopolio</t>
  </si>
  <si>
    <t>Problemi coi regolatori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</si>
  <si>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</si>
  <si>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</si>
  <si>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</si>
  <si>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</si>
  <si>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</si>
  <si>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</si>
  <si>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</si>
  <si>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</si>
  <si>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</si>
  <si>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Q3 2022</t>
  </si>
  <si>
    <t>Q4 2022</t>
  </si>
  <si>
    <t>Google Search &amp; Others</t>
  </si>
  <si>
    <t>Youtube ADS</t>
  </si>
  <si>
    <t>Google Network</t>
  </si>
  <si>
    <t>Google Other</t>
  </si>
  <si>
    <t>Other Bets</t>
  </si>
  <si>
    <t>Hedging</t>
  </si>
  <si>
    <t>Revenues</t>
  </si>
  <si>
    <t>Cost of Revenues</t>
  </si>
  <si>
    <t>Gross Margin</t>
  </si>
  <si>
    <t>R&amp;D</t>
  </si>
  <si>
    <t>S&amp;M</t>
  </si>
  <si>
    <t>G&amp;A</t>
  </si>
  <si>
    <t>Operative Margin</t>
  </si>
  <si>
    <t>Other income(expenses)</t>
  </si>
  <si>
    <t>Income before taxes</t>
  </si>
  <si>
    <t>Taxes</t>
  </si>
  <si>
    <t>Net income</t>
  </si>
  <si>
    <t>EPS OLD</t>
  </si>
  <si>
    <t>EPS NEW</t>
  </si>
  <si>
    <t>Share number</t>
  </si>
  <si>
    <t>Share diminishing number</t>
  </si>
  <si>
    <t>Discount rate</t>
  </si>
  <si>
    <t>Operating Margin</t>
  </si>
  <si>
    <t>Model Price</t>
  </si>
  <si>
    <t>Net Margin</t>
  </si>
  <si>
    <t>Real price</t>
  </si>
  <si>
    <t>Tax Rate</t>
  </si>
  <si>
    <t>Differenza</t>
  </si>
  <si>
    <t>Revenues Y/Y</t>
  </si>
  <si>
    <t>R&amp;D Increase</t>
  </si>
  <si>
    <t>S&amp;M Increase</t>
  </si>
  <si>
    <t>G%A increase</t>
  </si>
  <si>
    <t>EPS Growth</t>
  </si>
  <si>
    <t>Google Search Growth Y/Y</t>
  </si>
  <si>
    <t>Youtube ADS Growth Y/Y</t>
  </si>
  <si>
    <t>Google Network Growth Y/Y</t>
  </si>
  <si>
    <t>Google Other Growth Y/Y</t>
  </si>
  <si>
    <t>Google Cloud Growth Y/Y</t>
  </si>
  <si>
    <t>Other Bets Growth Y/Y</t>
  </si>
  <si>
    <t>Assets</t>
  </si>
  <si>
    <t>Liabilities</t>
  </si>
  <si>
    <t>Current Liab</t>
  </si>
  <si>
    <t>Account Receivables</t>
  </si>
  <si>
    <t>Long -term debt</t>
  </si>
  <si>
    <t>Income taxes receivables</t>
  </si>
  <si>
    <t>Other non current</t>
  </si>
  <si>
    <t>Inventory</t>
  </si>
  <si>
    <t>Total Liabilities</t>
  </si>
  <si>
    <t>Other current</t>
  </si>
  <si>
    <t>Equity</t>
  </si>
  <si>
    <t>Tot. Current Assets</t>
  </si>
  <si>
    <t>Common stocks</t>
  </si>
  <si>
    <t>Non-Marketable securities</t>
  </si>
  <si>
    <t>Retained Earnings</t>
  </si>
  <si>
    <t>Deferred income taxes</t>
  </si>
  <si>
    <t>Total Equity</t>
  </si>
  <si>
    <t>PP&amp;E</t>
  </si>
  <si>
    <t>Operating lease assets</t>
  </si>
  <si>
    <t>Total Liab + Equity</t>
  </si>
  <si>
    <t>Intangibles</t>
  </si>
  <si>
    <t>Goodwill</t>
  </si>
  <si>
    <t>Tot. Assets</t>
  </si>
  <si>
    <t>Net Working Capital</t>
  </si>
  <si>
    <t>Debt/Equity Ratio</t>
  </si>
  <si>
    <t>Sul totale</t>
  </si>
  <si>
    <t>Lo vogliamo sempre minore del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</si>
</sst>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rgb="FF202020"/>
      <name val="Lato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/>
    <xf numFmtId="3" fontId="3" fillId="0" borderId="0" xfId="0" applyNumberFormat="1" applyFont="1"/>
    <xf numFmtId="0" fontId="3" fillId="0" borderId="1" xfId="0" applyFont="1" applyBorder="1"/>
    <xf numFmtId="3" fontId="3" fillId="0" borderId="1" xfId="0" applyNumberFormat="1" applyFont="1" applyBorder="1"/>
    <xf numFmtId="14" fontId="1" fillId="0" borderId="0" xfId="0" applyNumberFormat="1" applyFont="1" applyAlignment="1"/>
    <xf numFmtId="164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2" borderId="2" xfId="0" applyFont="1" applyFill="1" applyBorder="1"/>
    <xf numFmtId="3" fontId="4" fillId="2" borderId="2" xfId="0" applyNumberFormat="1" applyFont="1" applyFill="1" applyBorder="1"/>
    <xf numFmtId="3" fontId="1" fillId="0" borderId="0" xfId="0" applyNumberFormat="1" applyFont="1" applyAlignment="1"/>
    <xf numFmtId="4" fontId="1" fillId="0" borderId="0" xfId="0" applyNumberFormat="1" applyFont="1"/>
    <xf numFmtId="3" fontId="1" fillId="0" borderId="0" xfId="0" applyNumberFormat="1" applyFont="1"/>
    <xf numFmtId="0" fontId="1" fillId="3" borderId="0" xfId="0" applyFont="1" applyFill="1" applyAlignment="1"/>
    <xf numFmtId="2" fontId="1" fillId="3" borderId="0" xfId="0" applyNumberFormat="1" applyFont="1" applyFill="1"/>
    <xf numFmtId="0" fontId="4" fillId="0" borderId="0" xfId="0" applyFont="1"/>
    <xf numFmtId="0" fontId="3" fillId="0" borderId="3" xfId="0" applyFont="1" applyBorder="1"/>
    <xf numFmtId="0" fontId="3" fillId="0" borderId="0" xfId="0" applyFont="1" applyAlignment="1"/>
    <xf numFmtId="0" fontId="3" fillId="0" borderId="1" xfId="0" applyFont="1" applyBorder="1" applyAlignment="1"/>
    <xf numFmtId="0" fontId="3" fillId="0" borderId="4" xfId="0" applyFont="1" applyBorder="1"/>
    <xf numFmtId="3" fontId="3" fillId="0" borderId="5" xfId="0" applyNumberFormat="1" applyFont="1" applyBorder="1"/>
    <xf numFmtId="3" fontId="3" fillId="0" borderId="0" xfId="0" applyNumberFormat="1" applyFont="1" applyAlignment="1"/>
    <xf numFmtId="3" fontId="3" fillId="0" borderId="3" xfId="0" applyNumberFormat="1" applyFont="1" applyBorder="1"/>
    <xf numFmtId="4" fontId="3" fillId="0" borderId="0" xfId="0" applyNumberFormat="1" applyFont="1"/>
    <xf numFmtId="2" fontId="1" fillId="0" borderId="0" xfId="0" applyNumberFormat="1" applyFont="1"/>
    <xf numFmtId="10" fontId="3" fillId="0" borderId="0" xfId="0" applyNumberFormat="1" applyFont="1"/>
    <xf numFmtId="10" fontId="3" fillId="0" borderId="3" xfId="0" applyNumberFormat="1" applyFont="1" applyBorder="1"/>
    <xf numFmtId="9" fontId="3" fillId="0" borderId="0" xfId="0" applyNumberFormat="1" applyFont="1"/>
    <xf numFmtId="9" fontId="3" fillId="0" borderId="0" xfId="0" applyNumberFormat="1" applyFont="1" applyAlignment="1"/>
    <xf numFmtId="0" fontId="5" fillId="0" borderId="0" xfId="0" applyFont="1" applyAlignment="1"/>
    <xf numFmtId="0" fontId="1" fillId="0" borderId="6" xfId="0" applyFont="1" applyBorder="1"/>
    <xf numFmtId="3" fontId="1" fillId="0" borderId="6" xfId="0" applyNumberFormat="1" applyFont="1" applyBorder="1" applyAlignment="1"/>
    <xf numFmtId="0" fontId="6" fillId="0" borderId="5" xfId="0" applyFont="1" applyBorder="1" applyAlignment="1"/>
    <xf numFmtId="3" fontId="6" fillId="0" borderId="5" xfId="0" applyNumberFormat="1" applyFont="1" applyBorder="1"/>
    <xf numFmtId="0" fontId="7" fillId="0" borderId="5" xfId="0" applyFont="1" applyBorder="1" applyAlignment="1"/>
    <xf numFmtId="3" fontId="6" fillId="0" borderId="7" xfId="0" applyNumberFormat="1" applyFont="1" applyBorder="1" applyAlignment="1"/>
    <xf numFmtId="0" fontId="6" fillId="0" borderId="0" xfId="0" applyFont="1" applyAlignment="1"/>
    <xf numFmtId="3" fontId="6" fillId="0" borderId="0" xfId="0" applyNumberFormat="1" applyFont="1"/>
    <xf numFmtId="3" fontId="6" fillId="0" borderId="7" xfId="0" applyNumberFormat="1" applyFont="1" applyBorder="1"/>
    <xf numFmtId="10" fontId="6" fillId="0" borderId="0" xfId="0" applyNumberFormat="1" applyFont="1"/>
    <xf numFmtId="0" fontId="6" fillId="4" borderId="0" xfId="0" applyFont="1" applyFill="1" applyAlignment="1"/>
    <xf numFmtId="10" fontId="6" fillId="4" borderId="0" xfId="0" applyNumberFormat="1" applyFont="1" applyFill="1"/>
    <xf numFmtId="0" fontId="6" fillId="4" borderId="0" xfId="0" applyFont="1" applyFill="1"/>
    <xf numFmtId="10" fontId="1" fillId="0" borderId="0" xfId="0" applyNumberFormat="1" applyFont="1"/>
    <xf numFmtId="0" fontId="1" fillId="5" borderId="0" xfId="0" applyFont="1" applyFill="1"/>
    <xf numFmtId="4" fontId="3" fillId="5" borderId="0" xfId="0" applyNumberFormat="1" applyFont="1" applyFill="1"/>
    <xf numFmtId="0" fontId="1" fillId="6" borderId="0" xfId="0" applyFont="1" applyFill="1"/>
    <xf numFmtId="9" fontId="3" fillId="6" borderId="0" xfId="0" applyNumberFormat="1" applyFont="1" applyFill="1"/>
    <xf numFmtId="0" fontId="1" fillId="7" borderId="0" xfId="0" applyFont="1" applyFill="1" applyAlignment="1"/>
    <xf numFmtId="0" fontId="0" fillId="7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781050</xdr:colOff>
      <xdr:row>22</xdr:row>
      <xdr:rowOff>85725</xdr:rowOff>
    </xdr:from>
    <xdr:ext cx="923925" cy="2286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75410" y="3941445"/>
          <a:ext cx="923925" cy="228600"/>
          <a:chOff x="4888800" y="3670463"/>
          <a:chExt cx="914400" cy="21907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888800" y="3670463"/>
            <a:ext cx="914400" cy="2190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1019175</xdr:colOff>
      <xdr:row>22</xdr:row>
      <xdr:rowOff>38100</xdr:rowOff>
    </xdr:from>
    <xdr:ext cx="6667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613535" y="3893820"/>
          <a:ext cx="666750" cy="38100"/>
          <a:chOff x="5012625" y="3765713"/>
          <a:chExt cx="666750" cy="28575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5012625" y="3765713"/>
            <a:ext cx="666750" cy="285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990600</xdr:colOff>
      <xdr:row>18</xdr:row>
      <xdr:rowOff>85725</xdr:rowOff>
    </xdr:from>
    <xdr:ext cx="6572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84960" y="3240405"/>
          <a:ext cx="657225" cy="38100"/>
          <a:chOff x="5017388" y="3780000"/>
          <a:chExt cx="657225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5017388" y="3780000"/>
            <a:ext cx="65722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542925</xdr:colOff>
      <xdr:row>17</xdr:row>
      <xdr:rowOff>57150</xdr:rowOff>
    </xdr:from>
    <xdr:ext cx="10858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137285" y="3036570"/>
          <a:ext cx="1085850" cy="38100"/>
          <a:chOff x="4803075" y="3780000"/>
          <a:chExt cx="1085850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803075" y="3780000"/>
            <a:ext cx="108585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47625</xdr:colOff>
      <xdr:row>0</xdr:row>
      <xdr:rowOff>0</xdr:rowOff>
    </xdr:from>
    <xdr:ext cx="38100" cy="7610475"/>
    <xdr:grpSp>
      <xdr:nvGrpSpPr>
        <xdr:cNvPr id="2" name="Shape 2" title="Disegn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0380345" y="0"/>
          <a:ext cx="38100" cy="7610475"/>
          <a:chOff x="5346000" y="0"/>
          <a:chExt cx="0" cy="756000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21</xdr:col>
      <xdr:colOff>47625</xdr:colOff>
      <xdr:row>1</xdr:row>
      <xdr:rowOff>148590</xdr:rowOff>
    </xdr:from>
    <xdr:ext cx="38100" cy="627697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6933545" y="323850"/>
          <a:ext cx="38100" cy="6276975"/>
          <a:chOff x="5346000" y="641513"/>
          <a:chExt cx="0" cy="6276975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>
            <a:off x="5346000" y="641513"/>
            <a:ext cx="0" cy="62769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7" workbookViewId="0">
      <selection activeCell="A29" sqref="A29:D29"/>
    </sheetView>
  </sheetViews>
  <sheetFormatPr defaultColWidth="14.44140625" defaultRowHeight="15" customHeight="1" x14ac:dyDescent="0.3"/>
  <cols>
    <col min="1" max="1" width="8.6640625" customWidth="1"/>
    <col min="2" max="2" width="16.33203125" customWidth="1"/>
    <col min="3" max="3" width="8.6640625" customWidth="1"/>
    <col min="4" max="4" width="16.33203125" customWidth="1"/>
    <col min="5" max="5" width="11.33203125" customWidth="1"/>
    <col min="6" max="6" width="14" customWidth="1"/>
    <col min="7" max="7" width="11.88671875" customWidth="1"/>
    <col min="8" max="8" width="10" customWidth="1"/>
    <col min="9" max="9" width="20.88671875" customWidth="1"/>
    <col min="10" max="10" width="10.5546875" bestFit="1" customWidth="1"/>
    <col min="11" max="26" width="8.6640625" customWidth="1"/>
  </cols>
  <sheetData>
    <row r="1" spans="1:13" ht="14.25" customHeight="1" x14ac:dyDescent="0.3">
      <c r="A1" s="1" t="s">
        <v>0</v>
      </c>
      <c r="I1" s="1" t="s">
        <v>1</v>
      </c>
    </row>
    <row r="2" spans="1:13" ht="14.25" customHeight="1" x14ac:dyDescent="0.35">
      <c r="D2" s="2"/>
      <c r="H2" s="1" t="s">
        <v>2</v>
      </c>
      <c r="I2" s="3">
        <v>116.83</v>
      </c>
      <c r="J2" s="7">
        <v>44778</v>
      </c>
    </row>
    <row r="3" spans="1:13" ht="14.25" customHeight="1" x14ac:dyDescent="0.3">
      <c r="D3" s="4"/>
      <c r="H3" s="1" t="s">
        <v>3</v>
      </c>
      <c r="I3" s="1">
        <f>I2</f>
        <v>116.83</v>
      </c>
      <c r="J3" s="7">
        <v>44779</v>
      </c>
    </row>
    <row r="4" spans="1:13" ht="14.25" customHeight="1" x14ac:dyDescent="0.3">
      <c r="C4" s="5" t="s">
        <v>4</v>
      </c>
      <c r="D4" s="6">
        <f>I5*H15</f>
        <v>1548314.7272727273</v>
      </c>
      <c r="E4" s="7">
        <v>44770</v>
      </c>
      <c r="F4" s="3" t="s">
        <v>5</v>
      </c>
      <c r="H4" s="1" t="s">
        <v>6</v>
      </c>
      <c r="I4" s="1">
        <v>117.57</v>
      </c>
      <c r="J4" s="7">
        <v>44780</v>
      </c>
    </row>
    <row r="5" spans="1:13" ht="14.25" customHeight="1" x14ac:dyDescent="0.3">
      <c r="C5" s="1" t="s">
        <v>7</v>
      </c>
      <c r="D5" s="4">
        <f>'Stato patrimoniale'!D4</f>
        <v>14734</v>
      </c>
      <c r="E5" s="3" t="s">
        <v>8</v>
      </c>
      <c r="F5" s="3" t="s">
        <v>9</v>
      </c>
      <c r="I5" s="8">
        <f>AVERAGE(I2:I4)</f>
        <v>117.07666666666667</v>
      </c>
    </row>
    <row r="6" spans="1:13" ht="14.25" customHeight="1" x14ac:dyDescent="0.3">
      <c r="C6" s="5" t="s">
        <v>10</v>
      </c>
      <c r="D6" s="6">
        <f>'Stato patrimoniale'!B3</f>
        <v>124997</v>
      </c>
      <c r="E6" s="3" t="s">
        <v>8</v>
      </c>
      <c r="F6" s="3" t="s">
        <v>9</v>
      </c>
    </row>
    <row r="7" spans="1:13" ht="14.25" customHeight="1" x14ac:dyDescent="0.3">
      <c r="C7" s="9" t="s">
        <v>11</v>
      </c>
      <c r="D7" s="4">
        <f>D5-D6</f>
        <v>-110263</v>
      </c>
      <c r="E7" s="3" t="s">
        <v>8</v>
      </c>
      <c r="F7" s="3" t="s">
        <v>9</v>
      </c>
    </row>
    <row r="8" spans="1:13" ht="14.25" customHeight="1" x14ac:dyDescent="0.3">
      <c r="D8" s="4"/>
      <c r="G8" s="10"/>
    </row>
    <row r="9" spans="1:13" ht="14.25" customHeight="1" x14ac:dyDescent="0.3">
      <c r="C9" s="11" t="s">
        <v>12</v>
      </c>
      <c r="D9" s="12">
        <f>D4+D7</f>
        <v>1438051.7272727273</v>
      </c>
      <c r="E9" s="3" t="s">
        <v>8</v>
      </c>
      <c r="F9" s="3" t="s">
        <v>9</v>
      </c>
      <c r="I9" s="3" t="s">
        <v>13</v>
      </c>
      <c r="J9" s="13">
        <v>59000</v>
      </c>
      <c r="K9" s="3" t="s">
        <v>14</v>
      </c>
      <c r="M9" s="3">
        <v>9000</v>
      </c>
    </row>
    <row r="10" spans="1:13" ht="14.25" customHeight="1" x14ac:dyDescent="0.3">
      <c r="C10" s="3" t="s">
        <v>15</v>
      </c>
      <c r="D10" s="14">
        <f>(D9/ SUM(DCF!I20:L20))</f>
        <v>19.968503211407565</v>
      </c>
      <c r="I10" s="3" t="s">
        <v>16</v>
      </c>
      <c r="J10" s="15">
        <f>(J9-M9)/I5</f>
        <v>427.07058053127582</v>
      </c>
    </row>
    <row r="11" spans="1:13" ht="14.25" customHeight="1" x14ac:dyDescent="0.3"/>
    <row r="12" spans="1:13" ht="14.25" customHeight="1" x14ac:dyDescent="0.3">
      <c r="C12" s="16" t="s">
        <v>17</v>
      </c>
      <c r="D12" s="17">
        <f>D9/H15</f>
        <v>108.73906949131359</v>
      </c>
      <c r="G12" s="3" t="s">
        <v>8</v>
      </c>
    </row>
    <row r="13" spans="1:13" ht="14.25" customHeight="1" x14ac:dyDescent="0.3">
      <c r="B13" s="18" t="s">
        <v>18</v>
      </c>
      <c r="G13" s="3" t="s">
        <v>19</v>
      </c>
      <c r="H13" s="15">
        <f>DCF!L20</f>
        <v>16002</v>
      </c>
    </row>
    <row r="14" spans="1:13" ht="14.25" customHeight="1" x14ac:dyDescent="0.3">
      <c r="B14" s="1" t="s">
        <v>20</v>
      </c>
      <c r="G14" s="3" t="s">
        <v>21</v>
      </c>
      <c r="H14" s="3">
        <v>1.21</v>
      </c>
    </row>
    <row r="15" spans="1:13" ht="14.25" customHeight="1" x14ac:dyDescent="0.3">
      <c r="B15" s="1" t="s">
        <v>22</v>
      </c>
      <c r="G15" s="3" t="s">
        <v>23</v>
      </c>
      <c r="H15" s="15">
        <f>H13/H14</f>
        <v>13224.793388429753</v>
      </c>
    </row>
    <row r="16" spans="1:13" ht="14.25" customHeight="1" x14ac:dyDescent="0.3">
      <c r="B16" s="1" t="s">
        <v>24</v>
      </c>
    </row>
    <row r="17" spans="2:4" ht="14.25" customHeight="1" x14ac:dyDescent="0.3">
      <c r="B17" s="1" t="s">
        <v>25</v>
      </c>
    </row>
    <row r="18" spans="2:4" ht="14.25" customHeight="1" x14ac:dyDescent="0.3">
      <c r="B18" s="1" t="s">
        <v>26</v>
      </c>
      <c r="D18" s="1" t="s">
        <v>27</v>
      </c>
    </row>
    <row r="19" spans="2:4" ht="14.25" customHeight="1" x14ac:dyDescent="0.3">
      <c r="B19" s="1" t="s">
        <v>28</v>
      </c>
      <c r="D19" s="1" t="s">
        <v>29</v>
      </c>
    </row>
    <row r="20" spans="2:4" ht="14.25" customHeight="1" x14ac:dyDescent="0.3">
      <c r="B20" s="1" t="s">
        <v>30</v>
      </c>
      <c r="D20" s="1" t="s">
        <v>31</v>
      </c>
    </row>
    <row r="21" spans="2:4" ht="14.25" customHeight="1" x14ac:dyDescent="0.3">
      <c r="B21" s="1" t="s">
        <v>32</v>
      </c>
    </row>
    <row r="22" spans="2:4" ht="14.25" customHeight="1" x14ac:dyDescent="0.3">
      <c r="B22" s="1" t="s">
        <v>33</v>
      </c>
    </row>
    <row r="23" spans="2:4" ht="14.25" customHeight="1" x14ac:dyDescent="0.3">
      <c r="B23" s="1" t="s">
        <v>34</v>
      </c>
      <c r="D23" s="1" t="s">
        <v>35</v>
      </c>
    </row>
    <row r="24" spans="2:4" ht="14.25" customHeight="1" x14ac:dyDescent="0.3">
      <c r="D24" s="1" t="s">
        <v>36</v>
      </c>
    </row>
    <row r="25" spans="2:4" ht="14.25" customHeight="1" x14ac:dyDescent="0.3"/>
    <row r="26" spans="2:4" ht="14.25" customHeight="1" x14ac:dyDescent="0.3"/>
    <row r="27" spans="2:4" ht="14.25" customHeight="1" x14ac:dyDescent="0.3">
      <c r="B27" s="3" t="s">
        <v>37</v>
      </c>
    </row>
    <row r="28" spans="2:4" ht="14.25" customHeight="1" x14ac:dyDescent="0.3">
      <c r="B28" s="3" t="s">
        <v>38</v>
      </c>
    </row>
    <row r="29" spans="2:4" ht="14.25" customHeight="1" x14ac:dyDescent="0.3">
      <c r="B29" s="51" t="s">
        <v>39</v>
      </c>
      <c r="C29" s="52"/>
    </row>
    <row r="30" spans="2:4" ht="14.25" customHeight="1" x14ac:dyDescent="0.3"/>
    <row r="31" spans="2:4" ht="14.25" customHeight="1" x14ac:dyDescent="0.3"/>
    <row r="32" spans="2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X1001"/>
  <sheetViews>
    <sheetView tabSelected="1" workbookViewId="0">
      <pane xSplit="2" ySplit="2" topLeftCell="Z12" activePane="bottomRight" state="frozen"/>
      <selection pane="topRight" activeCell="C1" sqref="C1"/>
      <selection pane="bottomLeft" activeCell="A3" sqref="A3"/>
      <selection pane="bottomRight" activeCell="AF31" sqref="AF31"/>
    </sheetView>
  </sheetViews>
  <sheetFormatPr defaultColWidth="14.44140625" defaultRowHeight="15" customHeight="1" x14ac:dyDescent="0.3"/>
  <cols>
    <col min="1" max="1" width="8.6640625" customWidth="1"/>
    <col min="2" max="2" width="30.88671875" customWidth="1"/>
    <col min="3" max="14" width="11.109375" customWidth="1"/>
    <col min="15" max="17" width="8.6640625" customWidth="1"/>
    <col min="18" max="20" width="11.109375" customWidth="1"/>
    <col min="21" max="21" width="14" customWidth="1"/>
    <col min="22" max="22" width="11.44140625" customWidth="1"/>
    <col min="23" max="23" width="17" customWidth="1"/>
    <col min="24" max="26" width="12.109375" customWidth="1"/>
    <col min="27" max="29" width="8.6640625" customWidth="1"/>
    <col min="30" max="31" width="12.44140625" customWidth="1"/>
    <col min="32" max="128" width="8.6640625" customWidth="1"/>
  </cols>
  <sheetData>
    <row r="1" spans="2:26" ht="14.25" customHeight="1" x14ac:dyDescent="0.3"/>
    <row r="2" spans="2:26" ht="14.25" customHeight="1" x14ac:dyDescent="0.3"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9" t="s">
        <v>8</v>
      </c>
      <c r="M2" s="9" t="s">
        <v>49</v>
      </c>
      <c r="N2" s="19" t="s">
        <v>50</v>
      </c>
      <c r="R2" s="1">
        <v>2019</v>
      </c>
      <c r="S2" s="1">
        <v>2020</v>
      </c>
      <c r="T2" s="1">
        <v>2021</v>
      </c>
      <c r="U2" s="1">
        <v>2022</v>
      </c>
      <c r="V2" s="1">
        <v>2023</v>
      </c>
      <c r="W2" s="1">
        <v>2024</v>
      </c>
      <c r="X2" s="1">
        <v>2025</v>
      </c>
      <c r="Y2" s="1">
        <v>2026</v>
      </c>
      <c r="Z2" s="1">
        <v>2027</v>
      </c>
    </row>
    <row r="3" spans="2:26" ht="14.25" customHeight="1" x14ac:dyDescent="0.3">
      <c r="B3" s="1" t="s">
        <v>51</v>
      </c>
      <c r="C3" s="4">
        <v>24502</v>
      </c>
      <c r="D3" s="4">
        <v>21319</v>
      </c>
      <c r="E3" s="4">
        <v>26338</v>
      </c>
      <c r="F3" s="4">
        <f t="shared" ref="F3:F9" si="0">S3-C3-D3-E3</f>
        <v>31903</v>
      </c>
      <c r="G3" s="4">
        <v>31879</v>
      </c>
      <c r="H3" s="4">
        <v>35845</v>
      </c>
      <c r="I3" s="4">
        <v>37926</v>
      </c>
      <c r="J3" s="4">
        <f t="shared" ref="J3:J9" si="1">T3-G3-H3-I3</f>
        <v>43301</v>
      </c>
      <c r="K3" s="4">
        <v>39618</v>
      </c>
      <c r="L3" s="20">
        <v>40689</v>
      </c>
      <c r="M3" s="4">
        <f t="shared" ref="M3:N3" si="2">I3+I3*M40</f>
        <v>42477.120000000003</v>
      </c>
      <c r="N3" s="4">
        <f t="shared" si="2"/>
        <v>48497.120000000003</v>
      </c>
      <c r="R3" s="4"/>
      <c r="S3" s="4">
        <v>104062</v>
      </c>
      <c r="T3" s="4">
        <v>148951</v>
      </c>
      <c r="U3" s="4">
        <f t="shared" ref="U3:U9" si="3">SUM(K3:N3)</f>
        <v>171281.24</v>
      </c>
      <c r="V3" s="15">
        <f t="shared" ref="V3:Z3" si="4">U3+U3*V40</f>
        <v>196973.42599999998</v>
      </c>
      <c r="W3" s="15">
        <f t="shared" si="4"/>
        <v>236368.11119999998</v>
      </c>
      <c r="X3" s="15">
        <f t="shared" si="4"/>
        <v>271823.32788</v>
      </c>
      <c r="Y3" s="15">
        <f t="shared" si="4"/>
        <v>312596.827062</v>
      </c>
      <c r="Z3" s="15">
        <f t="shared" si="4"/>
        <v>359486.35112130002</v>
      </c>
    </row>
    <row r="4" spans="2:26" ht="14.25" customHeight="1" x14ac:dyDescent="0.3">
      <c r="B4" s="1" t="s">
        <v>52</v>
      </c>
      <c r="C4" s="4">
        <v>4038</v>
      </c>
      <c r="D4" s="4">
        <v>3812</v>
      </c>
      <c r="E4" s="4">
        <v>5037</v>
      </c>
      <c r="F4" s="4">
        <f t="shared" si="0"/>
        <v>6885</v>
      </c>
      <c r="G4" s="4">
        <v>6005</v>
      </c>
      <c r="H4" s="4">
        <v>7002</v>
      </c>
      <c r="I4" s="4">
        <v>7205</v>
      </c>
      <c r="J4" s="4">
        <f t="shared" si="1"/>
        <v>8633</v>
      </c>
      <c r="K4" s="4">
        <v>6869</v>
      </c>
      <c r="L4" s="20">
        <v>7340</v>
      </c>
      <c r="M4" s="4">
        <f t="shared" ref="M4:N4" si="5">I4+I4*M41</f>
        <v>7853.45</v>
      </c>
      <c r="N4" s="4">
        <f t="shared" si="5"/>
        <v>9496.2999999999993</v>
      </c>
      <c r="R4" s="4"/>
      <c r="S4" s="4">
        <v>19772</v>
      </c>
      <c r="T4" s="4">
        <v>28845</v>
      </c>
      <c r="U4" s="4">
        <f t="shared" si="3"/>
        <v>31558.75</v>
      </c>
      <c r="V4" s="15">
        <f t="shared" ref="V4:Z4" si="6">U4+U4*V41</f>
        <v>33136.6875</v>
      </c>
      <c r="W4" s="15">
        <f t="shared" si="6"/>
        <v>34793.521874999999</v>
      </c>
      <c r="X4" s="15">
        <f t="shared" si="6"/>
        <v>36533.197968749999</v>
      </c>
      <c r="Y4" s="15">
        <f t="shared" si="6"/>
        <v>38359.8578671875</v>
      </c>
      <c r="Z4" s="15">
        <f t="shared" si="6"/>
        <v>40277.850760546877</v>
      </c>
    </row>
    <row r="5" spans="2:26" ht="14.25" customHeight="1" x14ac:dyDescent="0.3">
      <c r="B5" s="1" t="s">
        <v>53</v>
      </c>
      <c r="C5" s="4">
        <v>5223</v>
      </c>
      <c r="D5" s="4">
        <v>4736</v>
      </c>
      <c r="E5" s="4">
        <v>5720</v>
      </c>
      <c r="F5" s="4">
        <f t="shared" si="0"/>
        <v>7411</v>
      </c>
      <c r="G5" s="4">
        <v>6800</v>
      </c>
      <c r="H5" s="4">
        <v>7597</v>
      </c>
      <c r="I5" s="4">
        <v>7999</v>
      </c>
      <c r="J5" s="4">
        <f t="shared" si="1"/>
        <v>9305</v>
      </c>
      <c r="K5" s="4">
        <v>8174</v>
      </c>
      <c r="L5" s="20">
        <v>8259</v>
      </c>
      <c r="M5" s="4">
        <f t="shared" ref="M5:N5" si="7">I5+I5*M42</f>
        <v>8718.91</v>
      </c>
      <c r="N5" s="4">
        <f t="shared" si="7"/>
        <v>10235.5</v>
      </c>
      <c r="R5" s="4"/>
      <c r="S5" s="4">
        <v>23090</v>
      </c>
      <c r="T5" s="4">
        <v>31701</v>
      </c>
      <c r="U5" s="4">
        <f t="shared" si="3"/>
        <v>35387.410000000003</v>
      </c>
      <c r="V5" s="15">
        <f t="shared" ref="V5:Z5" si="8">U5+U5*V42</f>
        <v>40695.521500000003</v>
      </c>
      <c r="W5" s="15">
        <f t="shared" si="8"/>
        <v>46799.849725</v>
      </c>
      <c r="X5" s="15">
        <f t="shared" si="8"/>
        <v>53819.82718375</v>
      </c>
      <c r="Y5" s="15">
        <f t="shared" si="8"/>
        <v>59201.809902125002</v>
      </c>
      <c r="Z5" s="15">
        <f t="shared" si="8"/>
        <v>65121.990892337504</v>
      </c>
    </row>
    <row r="6" spans="2:26" ht="14.25" customHeight="1" x14ac:dyDescent="0.3">
      <c r="B6" s="1" t="s">
        <v>54</v>
      </c>
      <c r="C6" s="4">
        <v>4435</v>
      </c>
      <c r="D6" s="4">
        <v>5124</v>
      </c>
      <c r="E6" s="4">
        <v>5478</v>
      </c>
      <c r="F6" s="4">
        <f t="shared" si="0"/>
        <v>6674</v>
      </c>
      <c r="G6" s="4">
        <v>6494</v>
      </c>
      <c r="H6" s="4">
        <v>6623</v>
      </c>
      <c r="I6" s="4">
        <v>6754</v>
      </c>
      <c r="J6" s="4">
        <f t="shared" si="1"/>
        <v>8161</v>
      </c>
      <c r="K6" s="4">
        <v>6811</v>
      </c>
      <c r="L6" s="20">
        <v>6553</v>
      </c>
      <c r="M6" s="4">
        <f t="shared" ref="M6:N6" si="9">I6+I6*M43</f>
        <v>6754</v>
      </c>
      <c r="N6" s="4">
        <f t="shared" si="9"/>
        <v>8161</v>
      </c>
      <c r="R6" s="4"/>
      <c r="S6" s="4">
        <v>21711</v>
      </c>
      <c r="T6" s="4">
        <v>28032</v>
      </c>
      <c r="U6" s="4">
        <f t="shared" si="3"/>
        <v>28279</v>
      </c>
      <c r="V6" s="15">
        <f t="shared" ref="V6:Z6" si="10">U6+U6*V43</f>
        <v>31106.9</v>
      </c>
      <c r="W6" s="15">
        <f t="shared" si="10"/>
        <v>34217.590000000004</v>
      </c>
      <c r="X6" s="15">
        <f t="shared" si="10"/>
        <v>37639.349000000002</v>
      </c>
      <c r="Y6" s="15">
        <f t="shared" si="10"/>
        <v>41403.283900000002</v>
      </c>
      <c r="Z6" s="15">
        <f t="shared" si="10"/>
        <v>45543.612290000005</v>
      </c>
    </row>
    <row r="7" spans="2:26" ht="14.25" customHeight="1" x14ac:dyDescent="0.3">
      <c r="B7" s="1" t="s">
        <v>33</v>
      </c>
      <c r="C7" s="4">
        <v>2777</v>
      </c>
      <c r="D7" s="4">
        <v>3007</v>
      </c>
      <c r="E7" s="4">
        <v>3444</v>
      </c>
      <c r="F7" s="4">
        <f t="shared" si="0"/>
        <v>3831</v>
      </c>
      <c r="G7" s="4">
        <v>4047</v>
      </c>
      <c r="H7" s="4">
        <v>4628</v>
      </c>
      <c r="I7" s="4">
        <v>4990</v>
      </c>
      <c r="J7" s="4">
        <f t="shared" si="1"/>
        <v>5541</v>
      </c>
      <c r="K7" s="4">
        <v>5821</v>
      </c>
      <c r="L7" s="20">
        <v>6276</v>
      </c>
      <c r="M7" s="4">
        <f t="shared" ref="M7:N7" si="11">I7+I7*M44</f>
        <v>6736.5</v>
      </c>
      <c r="N7" s="4">
        <f t="shared" si="11"/>
        <v>7480.35</v>
      </c>
      <c r="R7" s="4"/>
      <c r="S7" s="4">
        <v>13059</v>
      </c>
      <c r="T7" s="4">
        <v>19206</v>
      </c>
      <c r="U7" s="4">
        <f t="shared" si="3"/>
        <v>26313.85</v>
      </c>
      <c r="V7" s="15">
        <f t="shared" ref="V7:Z7" si="12">U7+U7*V44</f>
        <v>36839.39</v>
      </c>
      <c r="W7" s="15">
        <f t="shared" si="12"/>
        <v>49733.176500000001</v>
      </c>
      <c r="X7" s="15">
        <f t="shared" si="12"/>
        <v>64653.12945</v>
      </c>
      <c r="Y7" s="15">
        <f t="shared" si="12"/>
        <v>84049.068285000001</v>
      </c>
      <c r="Z7" s="15">
        <f t="shared" si="12"/>
        <v>105061.33535625</v>
      </c>
    </row>
    <row r="8" spans="2:26" ht="14.25" customHeight="1" x14ac:dyDescent="0.3">
      <c r="B8" s="1" t="s">
        <v>55</v>
      </c>
      <c r="C8" s="4">
        <v>135</v>
      </c>
      <c r="D8" s="4">
        <v>148</v>
      </c>
      <c r="E8" s="4">
        <v>178</v>
      </c>
      <c r="F8" s="4">
        <f t="shared" si="0"/>
        <v>196</v>
      </c>
      <c r="G8" s="4">
        <v>198</v>
      </c>
      <c r="H8" s="4">
        <v>192</v>
      </c>
      <c r="I8" s="4">
        <v>182</v>
      </c>
      <c r="J8" s="4">
        <f t="shared" si="1"/>
        <v>181</v>
      </c>
      <c r="K8" s="4">
        <v>440</v>
      </c>
      <c r="L8" s="20">
        <v>193</v>
      </c>
      <c r="M8" s="9">
        <f t="shared" ref="M8:N8" si="13">L8*M45+L8</f>
        <v>212.3</v>
      </c>
      <c r="N8" s="9">
        <f t="shared" si="13"/>
        <v>233.53000000000003</v>
      </c>
      <c r="R8" s="4"/>
      <c r="S8" s="4">
        <v>657</v>
      </c>
      <c r="T8" s="4">
        <v>753</v>
      </c>
      <c r="U8" s="4">
        <f t="shared" si="3"/>
        <v>1078.83</v>
      </c>
      <c r="V8" s="15">
        <f t="shared" ref="V8:Z8" si="14">U8+U8*V45</f>
        <v>1510.3619999999999</v>
      </c>
      <c r="W8" s="15">
        <f t="shared" si="14"/>
        <v>2114.5067999999997</v>
      </c>
      <c r="X8" s="15">
        <f t="shared" si="14"/>
        <v>2960.3095199999998</v>
      </c>
      <c r="Y8" s="15">
        <f t="shared" si="14"/>
        <v>4144.4333280000001</v>
      </c>
      <c r="Z8" s="15">
        <f t="shared" si="14"/>
        <v>5802.2066592000001</v>
      </c>
    </row>
    <row r="9" spans="2:26" ht="14.25" customHeight="1" x14ac:dyDescent="0.3">
      <c r="B9" s="5" t="s">
        <v>56</v>
      </c>
      <c r="C9" s="6">
        <v>49</v>
      </c>
      <c r="D9" s="6">
        <v>151</v>
      </c>
      <c r="E9" s="6">
        <v>-22</v>
      </c>
      <c r="F9" s="4">
        <f t="shared" si="0"/>
        <v>-2</v>
      </c>
      <c r="G9" s="6">
        <v>-109</v>
      </c>
      <c r="H9" s="6">
        <v>-7</v>
      </c>
      <c r="I9" s="6">
        <v>62</v>
      </c>
      <c r="J9" s="4">
        <f t="shared" si="1"/>
        <v>203</v>
      </c>
      <c r="K9" s="6">
        <v>278</v>
      </c>
      <c r="L9" s="21">
        <v>375</v>
      </c>
      <c r="M9" s="5">
        <v>0</v>
      </c>
      <c r="N9" s="22">
        <v>0</v>
      </c>
      <c r="R9" s="4"/>
      <c r="S9" s="4">
        <v>176</v>
      </c>
      <c r="T9" s="4">
        <v>149</v>
      </c>
      <c r="U9" s="4">
        <f t="shared" si="3"/>
        <v>653</v>
      </c>
      <c r="V9" s="1">
        <f>0</f>
        <v>0</v>
      </c>
      <c r="W9" s="1">
        <f t="shared" ref="W9:Z9" si="15">V9+V9*W46</f>
        <v>0</v>
      </c>
      <c r="X9" s="1">
        <f t="shared" si="15"/>
        <v>0</v>
      </c>
      <c r="Y9" s="1">
        <f t="shared" si="15"/>
        <v>0</v>
      </c>
      <c r="Z9" s="1">
        <f t="shared" si="15"/>
        <v>0</v>
      </c>
    </row>
    <row r="10" spans="2:26" ht="14.25" customHeight="1" x14ac:dyDescent="0.3">
      <c r="B10" s="1" t="s">
        <v>57</v>
      </c>
      <c r="C10" s="4">
        <f t="shared" ref="C10:N10" si="16">SUM(C3:C9)</f>
        <v>41159</v>
      </c>
      <c r="D10" s="4">
        <f t="shared" si="16"/>
        <v>38297</v>
      </c>
      <c r="E10" s="4">
        <f t="shared" si="16"/>
        <v>46173</v>
      </c>
      <c r="F10" s="23">
        <f t="shared" si="16"/>
        <v>56898</v>
      </c>
      <c r="G10" s="4">
        <f t="shared" si="16"/>
        <v>55314</v>
      </c>
      <c r="H10" s="4">
        <f t="shared" si="16"/>
        <v>61880</v>
      </c>
      <c r="I10" s="4">
        <f t="shared" si="16"/>
        <v>65118</v>
      </c>
      <c r="J10" s="23">
        <f t="shared" si="16"/>
        <v>75325</v>
      </c>
      <c r="K10" s="4">
        <f t="shared" si="16"/>
        <v>68011</v>
      </c>
      <c r="L10" s="4">
        <f t="shared" si="16"/>
        <v>69685</v>
      </c>
      <c r="M10" s="4">
        <f t="shared" si="16"/>
        <v>72752.28</v>
      </c>
      <c r="N10" s="4">
        <f t="shared" si="16"/>
        <v>84103.8</v>
      </c>
      <c r="R10" s="4">
        <v>161857</v>
      </c>
      <c r="S10" s="4">
        <f>SUM(C10:F10)</f>
        <v>182527</v>
      </c>
      <c r="T10" s="4">
        <f>SUM(DCF!G10:J10)</f>
        <v>257637</v>
      </c>
      <c r="U10" s="4">
        <f t="shared" ref="U10:U12" si="17">K10+L10+M10+N10</f>
        <v>294552.08</v>
      </c>
      <c r="V10" s="4">
        <f t="shared" ref="V10:Z10" si="18">SUM(V3:V9)</f>
        <v>340262.28700000007</v>
      </c>
      <c r="W10" s="4">
        <f t="shared" si="18"/>
        <v>404026.75609999994</v>
      </c>
      <c r="X10" s="4">
        <f t="shared" si="18"/>
        <v>467429.14100250002</v>
      </c>
      <c r="Y10" s="4">
        <f t="shared" si="18"/>
        <v>539755.28034431254</v>
      </c>
      <c r="Z10" s="4">
        <f t="shared" si="18"/>
        <v>621293.34707963443</v>
      </c>
    </row>
    <row r="11" spans="2:26" ht="14.25" customHeight="1" x14ac:dyDescent="0.3">
      <c r="B11" s="1" t="s">
        <v>58</v>
      </c>
      <c r="C11" s="4">
        <v>18982</v>
      </c>
      <c r="D11" s="4">
        <v>18553</v>
      </c>
      <c r="E11" s="4">
        <v>21117</v>
      </c>
      <c r="F11" s="4">
        <f>S11-E11-D11-C11</f>
        <v>26080</v>
      </c>
      <c r="G11" s="4">
        <v>24103</v>
      </c>
      <c r="H11" s="4">
        <v>26227</v>
      </c>
      <c r="I11" s="4">
        <v>27621</v>
      </c>
      <c r="J11" s="4">
        <f>T11-I11-H11-G11</f>
        <v>32988</v>
      </c>
      <c r="K11" s="4">
        <v>29599</v>
      </c>
      <c r="L11" s="24">
        <v>30104</v>
      </c>
      <c r="M11" s="4">
        <f t="shared" ref="M11:N11" si="19">M10-M12</f>
        <v>31283.4804</v>
      </c>
      <c r="N11" s="25">
        <f t="shared" si="19"/>
        <v>36164.634000000005</v>
      </c>
      <c r="R11" s="4">
        <v>71896</v>
      </c>
      <c r="S11" s="4">
        <v>84732</v>
      </c>
      <c r="T11" s="4">
        <v>110939</v>
      </c>
      <c r="U11" s="4">
        <f t="shared" si="17"/>
        <v>127151.11440000001</v>
      </c>
      <c r="V11" s="4">
        <f t="shared" ref="V11:Z11" si="20">V10-V12</f>
        <v>149715.40628000002</v>
      </c>
      <c r="W11" s="4">
        <f t="shared" si="20"/>
        <v>177771.77268399997</v>
      </c>
      <c r="X11" s="4">
        <f t="shared" si="20"/>
        <v>205668.82204109998</v>
      </c>
      <c r="Y11" s="4">
        <f t="shared" si="20"/>
        <v>237492.32335149747</v>
      </c>
      <c r="Z11" s="4">
        <f t="shared" si="20"/>
        <v>273369.07271503913</v>
      </c>
    </row>
    <row r="12" spans="2:26" ht="14.25" customHeight="1" x14ac:dyDescent="0.3">
      <c r="B12" s="1" t="s">
        <v>59</v>
      </c>
      <c r="C12" s="4">
        <f t="shared" ref="C12:L12" si="21">C10-C11</f>
        <v>22177</v>
      </c>
      <c r="D12" s="4">
        <f t="shared" si="21"/>
        <v>19744</v>
      </c>
      <c r="E12" s="4">
        <f t="shared" si="21"/>
        <v>25056</v>
      </c>
      <c r="F12" s="4">
        <f t="shared" si="21"/>
        <v>30818</v>
      </c>
      <c r="G12" s="4">
        <f t="shared" si="21"/>
        <v>31211</v>
      </c>
      <c r="H12" s="4">
        <f t="shared" si="21"/>
        <v>35653</v>
      </c>
      <c r="I12" s="4">
        <f t="shared" si="21"/>
        <v>37497</v>
      </c>
      <c r="J12" s="4">
        <f t="shared" si="21"/>
        <v>42337</v>
      </c>
      <c r="K12" s="4">
        <f t="shared" si="21"/>
        <v>38412</v>
      </c>
      <c r="L12" s="4">
        <f t="shared" si="21"/>
        <v>39581</v>
      </c>
      <c r="M12" s="4">
        <f t="shared" ref="M12:N12" si="22">M10*M27</f>
        <v>41468.799599999998</v>
      </c>
      <c r="N12" s="25">
        <f t="shared" si="22"/>
        <v>47939.165999999997</v>
      </c>
      <c r="R12" s="4">
        <f t="shared" ref="R12:T12" si="23">R10-R11</f>
        <v>89961</v>
      </c>
      <c r="S12" s="4">
        <f t="shared" si="23"/>
        <v>97795</v>
      </c>
      <c r="T12" s="4">
        <f t="shared" si="23"/>
        <v>146698</v>
      </c>
      <c r="U12" s="4">
        <f t="shared" si="17"/>
        <v>167400.9656</v>
      </c>
      <c r="V12" s="4">
        <f t="shared" ref="V12:Z12" si="24">V10*V27</f>
        <v>190546.88072000004</v>
      </c>
      <c r="W12" s="4">
        <f t="shared" si="24"/>
        <v>226254.98341599997</v>
      </c>
      <c r="X12" s="4">
        <f t="shared" si="24"/>
        <v>261760.31896140004</v>
      </c>
      <c r="Y12" s="4">
        <f t="shared" si="24"/>
        <v>302262.95699281507</v>
      </c>
      <c r="Z12" s="4">
        <f t="shared" si="24"/>
        <v>347924.2743645953</v>
      </c>
    </row>
    <row r="13" spans="2:26" ht="14.25" customHeight="1" x14ac:dyDescent="0.3">
      <c r="B13" s="1" t="s">
        <v>60</v>
      </c>
      <c r="C13" s="4">
        <v>6820</v>
      </c>
      <c r="D13" s="4">
        <v>6875</v>
      </c>
      <c r="E13" s="4">
        <v>6856</v>
      </c>
      <c r="F13" s="4">
        <f t="shared" ref="F13:F15" si="25">S13-E13-D13-C13</f>
        <v>7022</v>
      </c>
      <c r="G13" s="4">
        <v>7485</v>
      </c>
      <c r="H13" s="4">
        <v>7675</v>
      </c>
      <c r="I13" s="4">
        <v>7694</v>
      </c>
      <c r="J13" s="4">
        <f t="shared" ref="J13:J15" si="26">T13-I13-H13-G13</f>
        <v>8708</v>
      </c>
      <c r="K13" s="4">
        <v>9119</v>
      </c>
      <c r="L13" s="24">
        <v>9841</v>
      </c>
      <c r="M13" s="4">
        <f t="shared" ref="M13:N13" si="27">I13+I13*M34</f>
        <v>8848.1</v>
      </c>
      <c r="N13" s="4">
        <f t="shared" si="27"/>
        <v>10014.200000000001</v>
      </c>
      <c r="R13" s="4">
        <v>26018</v>
      </c>
      <c r="S13" s="4">
        <v>27573</v>
      </c>
      <c r="T13" s="4">
        <v>31562</v>
      </c>
      <c r="U13" s="4">
        <f t="shared" ref="U13:U15" si="28">K13++L13+M13+N13</f>
        <v>37822.300000000003</v>
      </c>
      <c r="V13" s="4">
        <f t="shared" ref="V13:Z13" si="29">U13*V34+U13</f>
        <v>43495.645000000004</v>
      </c>
      <c r="W13" s="4">
        <f t="shared" si="29"/>
        <v>50019.991750000001</v>
      </c>
      <c r="X13" s="4">
        <f t="shared" si="29"/>
        <v>57522.9905125</v>
      </c>
      <c r="Y13" s="4">
        <f t="shared" si="29"/>
        <v>66151.439089374995</v>
      </c>
      <c r="Z13" s="4">
        <f t="shared" si="29"/>
        <v>76074.154952781246</v>
      </c>
    </row>
    <row r="14" spans="2:26" ht="14.25" customHeight="1" x14ac:dyDescent="0.3">
      <c r="B14" s="1" t="s">
        <v>61</v>
      </c>
      <c r="C14" s="4">
        <v>4500</v>
      </c>
      <c r="D14" s="4">
        <v>3901</v>
      </c>
      <c r="E14" s="4">
        <v>4231</v>
      </c>
      <c r="F14" s="4">
        <f t="shared" si="25"/>
        <v>5314</v>
      </c>
      <c r="G14" s="4">
        <v>4516</v>
      </c>
      <c r="H14" s="4">
        <v>5276</v>
      </c>
      <c r="I14" s="4">
        <v>5516</v>
      </c>
      <c r="J14" s="4">
        <f t="shared" si="26"/>
        <v>7604</v>
      </c>
      <c r="K14" s="4">
        <v>5825</v>
      </c>
      <c r="L14" s="24">
        <v>6630</v>
      </c>
      <c r="M14" s="4">
        <f t="shared" ref="M14:N14" si="30">I14+I14*M35</f>
        <v>6619.2</v>
      </c>
      <c r="N14" s="4">
        <f t="shared" si="30"/>
        <v>9124.7999999999993</v>
      </c>
      <c r="R14" s="4">
        <v>18464</v>
      </c>
      <c r="S14" s="4">
        <v>17946</v>
      </c>
      <c r="T14" s="4">
        <v>22912</v>
      </c>
      <c r="U14" s="4">
        <f t="shared" si="28"/>
        <v>28199</v>
      </c>
      <c r="V14" s="4">
        <f t="shared" ref="V14:Z14" si="31">U14*V35+U14</f>
        <v>33838.800000000003</v>
      </c>
      <c r="W14" s="4">
        <f t="shared" si="31"/>
        <v>40606.560000000005</v>
      </c>
      <c r="X14" s="4">
        <f t="shared" si="31"/>
        <v>48727.872000000003</v>
      </c>
      <c r="Y14" s="4">
        <f t="shared" si="31"/>
        <v>58473.446400000001</v>
      </c>
      <c r="Z14" s="4">
        <f t="shared" si="31"/>
        <v>70168.135680000007</v>
      </c>
    </row>
    <row r="15" spans="2:26" ht="14.25" customHeight="1" x14ac:dyDescent="0.3">
      <c r="B15" s="1" t="s">
        <v>62</v>
      </c>
      <c r="C15" s="4">
        <v>2880</v>
      </c>
      <c r="D15" s="4">
        <v>2585</v>
      </c>
      <c r="E15" s="4">
        <v>2756</v>
      </c>
      <c r="F15" s="4">
        <f t="shared" si="25"/>
        <v>2831</v>
      </c>
      <c r="G15" s="4">
        <v>2773</v>
      </c>
      <c r="H15" s="4">
        <v>3341</v>
      </c>
      <c r="I15" s="4">
        <v>3256</v>
      </c>
      <c r="J15" s="4">
        <f t="shared" si="26"/>
        <v>4140</v>
      </c>
      <c r="K15" s="4">
        <v>3374</v>
      </c>
      <c r="L15" s="24">
        <v>3657</v>
      </c>
      <c r="M15" s="4">
        <f t="shared" ref="M15:N15" si="32">I15+I15*M36</f>
        <v>3744.4</v>
      </c>
      <c r="N15" s="4">
        <f t="shared" si="32"/>
        <v>4761</v>
      </c>
      <c r="R15" s="4">
        <v>9551</v>
      </c>
      <c r="S15" s="4">
        <v>11052</v>
      </c>
      <c r="T15" s="4">
        <v>13510</v>
      </c>
      <c r="U15" s="4">
        <f t="shared" si="28"/>
        <v>15536.4</v>
      </c>
      <c r="V15" s="4">
        <f t="shared" ref="V15:Z15" si="33">U15*V36+U15</f>
        <v>17866.86</v>
      </c>
      <c r="W15" s="4">
        <f t="shared" si="33"/>
        <v>20546.888999999999</v>
      </c>
      <c r="X15" s="4">
        <f t="shared" si="33"/>
        <v>23628.922350000001</v>
      </c>
      <c r="Y15" s="4">
        <f t="shared" si="33"/>
        <v>27173.2607025</v>
      </c>
      <c r="Z15" s="4">
        <f t="shared" si="33"/>
        <v>31249.249807875</v>
      </c>
    </row>
    <row r="16" spans="2:26" ht="14.25" customHeight="1" x14ac:dyDescent="0.3">
      <c r="B16" s="1" t="s">
        <v>63</v>
      </c>
      <c r="C16" s="4">
        <f t="shared" ref="C16:L16" si="34">C12-C13-C14-C15</f>
        <v>7977</v>
      </c>
      <c r="D16" s="4">
        <f t="shared" si="34"/>
        <v>6383</v>
      </c>
      <c r="E16" s="4">
        <f t="shared" si="34"/>
        <v>11213</v>
      </c>
      <c r="F16" s="4">
        <f t="shared" si="34"/>
        <v>15651</v>
      </c>
      <c r="G16" s="4">
        <f t="shared" si="34"/>
        <v>16437</v>
      </c>
      <c r="H16" s="4">
        <f t="shared" si="34"/>
        <v>19361</v>
      </c>
      <c r="I16" s="4">
        <f t="shared" si="34"/>
        <v>21031</v>
      </c>
      <c r="J16" s="4">
        <f t="shared" si="34"/>
        <v>21885</v>
      </c>
      <c r="K16" s="4">
        <f t="shared" si="34"/>
        <v>20094</v>
      </c>
      <c r="L16" s="4">
        <f t="shared" si="34"/>
        <v>19453</v>
      </c>
      <c r="M16" s="4">
        <f t="shared" ref="M16:N16" si="35">M10*M28</f>
        <v>20370.6384</v>
      </c>
      <c r="N16" s="25">
        <f t="shared" si="35"/>
        <v>23549.064000000002</v>
      </c>
      <c r="R16" s="4">
        <f t="shared" ref="R16:Z16" si="36">R12-R13-R14-R15</f>
        <v>35928</v>
      </c>
      <c r="S16" s="4">
        <f t="shared" si="36"/>
        <v>41224</v>
      </c>
      <c r="T16" s="4">
        <f t="shared" si="36"/>
        <v>78714</v>
      </c>
      <c r="U16" s="4">
        <f t="shared" si="36"/>
        <v>85843.265599999999</v>
      </c>
      <c r="V16" s="4">
        <f t="shared" si="36"/>
        <v>95345.575720000052</v>
      </c>
      <c r="W16" s="4">
        <f t="shared" si="36"/>
        <v>115081.54266599999</v>
      </c>
      <c r="X16" s="4">
        <f t="shared" si="36"/>
        <v>131880.53409890004</v>
      </c>
      <c r="Y16" s="4">
        <f t="shared" si="36"/>
        <v>150464.81080094009</v>
      </c>
      <c r="Z16" s="4">
        <f t="shared" si="36"/>
        <v>170432.73392393903</v>
      </c>
    </row>
    <row r="17" spans="2:128" ht="14.25" customHeight="1" x14ac:dyDescent="0.3">
      <c r="B17" s="1" t="s">
        <v>64</v>
      </c>
      <c r="C17" s="4">
        <v>-220</v>
      </c>
      <c r="D17" s="4">
        <v>1894</v>
      </c>
      <c r="E17" s="4">
        <v>2146</v>
      </c>
      <c r="F17" s="4">
        <f>S17-E17-D17-C17</f>
        <v>3038</v>
      </c>
      <c r="G17" s="4">
        <v>4846</v>
      </c>
      <c r="H17" s="4">
        <v>2624</v>
      </c>
      <c r="I17" s="4">
        <v>2033</v>
      </c>
      <c r="J17" s="4">
        <f>T17-I17-H17-G17</f>
        <v>2517</v>
      </c>
      <c r="K17" s="4">
        <v>-1160</v>
      </c>
      <c r="L17" s="24">
        <v>-439</v>
      </c>
      <c r="M17" s="24">
        <v>0</v>
      </c>
      <c r="N17" s="25">
        <v>0</v>
      </c>
      <c r="R17" s="4">
        <f>5394</f>
        <v>5394</v>
      </c>
      <c r="S17" s="4">
        <v>6858</v>
      </c>
      <c r="T17" s="4">
        <v>12020</v>
      </c>
      <c r="U17" s="4">
        <f>K17++L17+M17+N17</f>
        <v>-1599</v>
      </c>
      <c r="V17" s="4">
        <f>AVERAGE(R17:U17)</f>
        <v>5668.25</v>
      </c>
      <c r="W17" s="4">
        <f t="shared" ref="W17:Z17" si="37">V17*1.3</f>
        <v>7368.7250000000004</v>
      </c>
      <c r="X17" s="4">
        <f t="shared" si="37"/>
        <v>9579.3425000000007</v>
      </c>
      <c r="Y17" s="4">
        <f t="shared" si="37"/>
        <v>12453.145250000001</v>
      </c>
      <c r="Z17" s="4">
        <f t="shared" si="37"/>
        <v>16189.088825000003</v>
      </c>
    </row>
    <row r="18" spans="2:128" ht="14.25" customHeight="1" x14ac:dyDescent="0.3">
      <c r="B18" s="1" t="s">
        <v>65</v>
      </c>
      <c r="C18" s="4">
        <f t="shared" ref="C18:N18" si="38">C16+C17</f>
        <v>7757</v>
      </c>
      <c r="D18" s="4">
        <f t="shared" si="38"/>
        <v>8277</v>
      </c>
      <c r="E18" s="4">
        <f t="shared" si="38"/>
        <v>13359</v>
      </c>
      <c r="F18" s="4">
        <f t="shared" si="38"/>
        <v>18689</v>
      </c>
      <c r="G18" s="4">
        <f t="shared" si="38"/>
        <v>21283</v>
      </c>
      <c r="H18" s="4">
        <f t="shared" si="38"/>
        <v>21985</v>
      </c>
      <c r="I18" s="4">
        <f t="shared" si="38"/>
        <v>23064</v>
      </c>
      <c r="J18" s="4">
        <f t="shared" si="38"/>
        <v>24402</v>
      </c>
      <c r="K18" s="4">
        <f t="shared" si="38"/>
        <v>18934</v>
      </c>
      <c r="L18" s="4">
        <f t="shared" si="38"/>
        <v>19014</v>
      </c>
      <c r="M18" s="4">
        <f t="shared" si="38"/>
        <v>20370.6384</v>
      </c>
      <c r="N18" s="4">
        <f t="shared" si="38"/>
        <v>23549.064000000002</v>
      </c>
      <c r="R18" s="4">
        <f t="shared" ref="R18:Z18" si="39">R16+R17</f>
        <v>41322</v>
      </c>
      <c r="S18" s="4">
        <f t="shared" si="39"/>
        <v>48082</v>
      </c>
      <c r="T18" s="4">
        <f t="shared" si="39"/>
        <v>90734</v>
      </c>
      <c r="U18" s="4">
        <f t="shared" si="39"/>
        <v>84244.265599999999</v>
      </c>
      <c r="V18" s="4">
        <f t="shared" si="39"/>
        <v>101013.82572000005</v>
      </c>
      <c r="W18" s="4">
        <f t="shared" si="39"/>
        <v>122450.267666</v>
      </c>
      <c r="X18" s="4">
        <f t="shared" si="39"/>
        <v>141459.87659890004</v>
      </c>
      <c r="Y18" s="4">
        <f t="shared" si="39"/>
        <v>162917.95605094009</v>
      </c>
      <c r="Z18" s="4">
        <f t="shared" si="39"/>
        <v>186621.82274893904</v>
      </c>
    </row>
    <row r="19" spans="2:128" ht="14.25" customHeight="1" x14ac:dyDescent="0.3">
      <c r="B19" s="1" t="s">
        <v>66</v>
      </c>
      <c r="C19" s="4">
        <v>921</v>
      </c>
      <c r="D19" s="4">
        <v>1318</v>
      </c>
      <c r="E19" s="4">
        <v>2112</v>
      </c>
      <c r="F19" s="4">
        <f>S19-E19-D19-C19</f>
        <v>3462</v>
      </c>
      <c r="G19" s="4">
        <v>3353</v>
      </c>
      <c r="H19" s="4">
        <v>3460</v>
      </c>
      <c r="I19" s="4">
        <v>4128</v>
      </c>
      <c r="J19" s="4">
        <f>T19-I19-H19-G19</f>
        <v>3760</v>
      </c>
      <c r="K19" s="4">
        <v>2498</v>
      </c>
      <c r="L19" s="24">
        <v>3012</v>
      </c>
      <c r="M19" s="4">
        <f t="shared" ref="M19:N19" si="40">M18*M30</f>
        <v>3198.1902288000001</v>
      </c>
      <c r="N19" s="25">
        <f t="shared" si="40"/>
        <v>3767.8502400000002</v>
      </c>
      <c r="R19" s="4">
        <v>5282</v>
      </c>
      <c r="S19" s="4">
        <v>7813</v>
      </c>
      <c r="T19" s="4">
        <v>14701</v>
      </c>
      <c r="U19" s="4">
        <f t="shared" ref="U19:U20" si="41">K19+L19+M19+N19</f>
        <v>12476.0404688</v>
      </c>
      <c r="V19" s="4">
        <f t="shared" ref="V19:Z19" si="42">V18*V30</f>
        <v>15152.073858000007</v>
      </c>
      <c r="W19" s="4">
        <f t="shared" si="42"/>
        <v>18367.5401499</v>
      </c>
      <c r="X19" s="4">
        <f t="shared" si="42"/>
        <v>21218.981489835005</v>
      </c>
      <c r="Y19" s="4">
        <f t="shared" si="42"/>
        <v>24437.693407641014</v>
      </c>
      <c r="Z19" s="4">
        <f t="shared" si="42"/>
        <v>27993.273412340855</v>
      </c>
    </row>
    <row r="20" spans="2:128" ht="14.25" customHeight="1" x14ac:dyDescent="0.3">
      <c r="B20" s="1" t="s">
        <v>67</v>
      </c>
      <c r="C20" s="4">
        <f t="shared" ref="C20:N20" si="43">C18-C19</f>
        <v>6836</v>
      </c>
      <c r="D20" s="4">
        <f t="shared" si="43"/>
        <v>6959</v>
      </c>
      <c r="E20" s="4">
        <f t="shared" si="43"/>
        <v>11247</v>
      </c>
      <c r="F20" s="4">
        <f t="shared" si="43"/>
        <v>15227</v>
      </c>
      <c r="G20" s="4">
        <f t="shared" si="43"/>
        <v>17930</v>
      </c>
      <c r="H20" s="4">
        <f t="shared" si="43"/>
        <v>18525</v>
      </c>
      <c r="I20" s="4">
        <f t="shared" si="43"/>
        <v>18936</v>
      </c>
      <c r="J20" s="4">
        <f t="shared" si="43"/>
        <v>20642</v>
      </c>
      <c r="K20" s="4">
        <f t="shared" si="43"/>
        <v>16436</v>
      </c>
      <c r="L20" s="4">
        <f t="shared" si="43"/>
        <v>16002</v>
      </c>
      <c r="M20" s="4">
        <f t="shared" si="43"/>
        <v>17172.448171199998</v>
      </c>
      <c r="N20" s="25">
        <f t="shared" si="43"/>
        <v>19781.213760000002</v>
      </c>
      <c r="R20" s="4">
        <f t="shared" ref="R20:T20" si="44">R18-R19</f>
        <v>36040</v>
      </c>
      <c r="S20" s="4">
        <f t="shared" si="44"/>
        <v>40269</v>
      </c>
      <c r="T20" s="4">
        <f t="shared" si="44"/>
        <v>76033</v>
      </c>
      <c r="U20" s="4">
        <f t="shared" si="41"/>
        <v>69391.661931199997</v>
      </c>
      <c r="V20" s="4">
        <f t="shared" ref="V20:Z20" si="45">V18-V19</f>
        <v>85861.751862000048</v>
      </c>
      <c r="W20" s="4">
        <f t="shared" si="45"/>
        <v>104082.7275161</v>
      </c>
      <c r="X20" s="4">
        <f t="shared" si="45"/>
        <v>120240.89510906504</v>
      </c>
      <c r="Y20" s="4">
        <f t="shared" si="45"/>
        <v>138480.26264329907</v>
      </c>
      <c r="Z20" s="4">
        <f t="shared" si="45"/>
        <v>158628.5493365982</v>
      </c>
    </row>
    <row r="21" spans="2:128" ht="14.25" customHeight="1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9"/>
      <c r="N21" s="19"/>
      <c r="U21" s="4"/>
    </row>
    <row r="22" spans="2:128" ht="14.25" hidden="1" customHeight="1" x14ac:dyDescent="0.3">
      <c r="B22" s="3" t="s">
        <v>68</v>
      </c>
      <c r="C22" s="4">
        <v>9.9600000000000009</v>
      </c>
      <c r="D22" s="4">
        <v>10.210000000000001</v>
      </c>
      <c r="E22" s="4">
        <v>16.55</v>
      </c>
      <c r="F22" s="4">
        <f>S22-E22-D22-C22</f>
        <v>22.429999999999993</v>
      </c>
      <c r="G22" s="4">
        <v>26.63</v>
      </c>
      <c r="H22" s="4">
        <v>27.69</v>
      </c>
      <c r="I22" s="26">
        <v>28.44</v>
      </c>
      <c r="J22" s="4">
        <f>T22-I22-H22-G22</f>
        <v>31.12</v>
      </c>
      <c r="K22" s="4">
        <v>24.9</v>
      </c>
      <c r="L22" s="26">
        <f>L20/L24</f>
        <v>1.21</v>
      </c>
      <c r="M22" s="4">
        <f t="shared" ref="M22:N22" si="46">M20/M24*1000000</f>
        <v>1320064.6407739453</v>
      </c>
      <c r="N22" s="25">
        <f t="shared" si="46"/>
        <v>1546277.9050188381</v>
      </c>
      <c r="R22" s="1">
        <v>49.59</v>
      </c>
      <c r="S22" s="1">
        <v>59.15</v>
      </c>
      <c r="T22" s="1">
        <v>113.88</v>
      </c>
      <c r="U22" s="4">
        <f t="shared" ref="U22:Z22" si="47">U20/U24*1000000</f>
        <v>5302693.7959035086</v>
      </c>
      <c r="V22" s="10">
        <f t="shared" si="47"/>
        <v>6695190.3687996212</v>
      </c>
      <c r="W22" s="10">
        <f t="shared" si="47"/>
        <v>8281629.0486932173</v>
      </c>
      <c r="X22" s="10">
        <f t="shared" si="47"/>
        <v>9663937.5579030253</v>
      </c>
      <c r="Y22" s="10">
        <f t="shared" si="47"/>
        <v>11242285.200190298</v>
      </c>
      <c r="Z22" s="10">
        <f t="shared" si="47"/>
        <v>13008070.378954194</v>
      </c>
      <c r="AA22" s="27">
        <f t="shared" ref="AA22:AE22" si="48">Z22*0.05+Z22</f>
        <v>13658473.897901904</v>
      </c>
      <c r="AB22" s="27">
        <f t="shared" si="48"/>
        <v>14341397.592797</v>
      </c>
      <c r="AC22" s="27">
        <f t="shared" si="48"/>
        <v>15058467.472436849</v>
      </c>
      <c r="AD22" s="27">
        <f t="shared" si="48"/>
        <v>15811390.846058691</v>
      </c>
      <c r="AE22" s="27">
        <f t="shared" si="48"/>
        <v>16601960.388361625</v>
      </c>
      <c r="AF22" s="1">
        <f t="shared" ref="AF22:AJ22" si="49">AE22*1</f>
        <v>16601960.388361625</v>
      </c>
      <c r="AG22" s="1">
        <f t="shared" si="49"/>
        <v>16601960.388361625</v>
      </c>
      <c r="AH22" s="1">
        <f t="shared" si="49"/>
        <v>16601960.388361625</v>
      </c>
      <c r="AI22" s="1">
        <f t="shared" si="49"/>
        <v>16601960.388361625</v>
      </c>
      <c r="AJ22" s="1">
        <f t="shared" si="49"/>
        <v>16601960.388361625</v>
      </c>
      <c r="AK22" s="1">
        <f t="shared" ref="AK22:DX22" si="50">AJ22*0.95</f>
        <v>15771862.368943544</v>
      </c>
      <c r="AL22" s="1">
        <f t="shared" si="50"/>
        <v>14983269.250496367</v>
      </c>
      <c r="AM22" s="1">
        <f t="shared" si="50"/>
        <v>14234105.787971549</v>
      </c>
      <c r="AN22" s="1">
        <f t="shared" si="50"/>
        <v>13522400.49857297</v>
      </c>
      <c r="AO22" s="1">
        <f t="shared" si="50"/>
        <v>12846280.47364432</v>
      </c>
      <c r="AP22" s="1">
        <f t="shared" si="50"/>
        <v>12203966.449962104</v>
      </c>
      <c r="AQ22" s="1">
        <f t="shared" si="50"/>
        <v>11593768.127463998</v>
      </c>
      <c r="AR22" s="1">
        <f t="shared" si="50"/>
        <v>11014079.721090797</v>
      </c>
      <c r="AS22" s="1">
        <f t="shared" si="50"/>
        <v>10463375.735036258</v>
      </c>
      <c r="AT22" s="1">
        <f t="shared" si="50"/>
        <v>9940206.9482844435</v>
      </c>
      <c r="AU22" s="1">
        <f t="shared" si="50"/>
        <v>9443196.60087022</v>
      </c>
      <c r="AV22" s="1">
        <f t="shared" si="50"/>
        <v>8971036.7708267085</v>
      </c>
      <c r="AW22" s="1">
        <f t="shared" si="50"/>
        <v>8522484.9322853722</v>
      </c>
      <c r="AX22" s="1">
        <f t="shared" si="50"/>
        <v>8096360.6856711032</v>
      </c>
      <c r="AY22" s="1">
        <f t="shared" si="50"/>
        <v>7691542.6513875481</v>
      </c>
      <c r="AZ22" s="1">
        <f t="shared" si="50"/>
        <v>7306965.5188181708</v>
      </c>
      <c r="BA22" s="1">
        <f t="shared" si="50"/>
        <v>6941617.2428772617</v>
      </c>
      <c r="BB22" s="1">
        <f t="shared" si="50"/>
        <v>6594536.3807333987</v>
      </c>
      <c r="BC22" s="1">
        <f t="shared" si="50"/>
        <v>6264809.5616967287</v>
      </c>
      <c r="BD22" s="1">
        <f t="shared" si="50"/>
        <v>5951569.0836118916</v>
      </c>
      <c r="BE22" s="1">
        <f t="shared" si="50"/>
        <v>5653990.6294312971</v>
      </c>
      <c r="BF22" s="1">
        <f t="shared" si="50"/>
        <v>5371291.0979597317</v>
      </c>
      <c r="BG22" s="1">
        <f t="shared" si="50"/>
        <v>5102726.5430617444</v>
      </c>
      <c r="BH22" s="1">
        <f t="shared" si="50"/>
        <v>4847590.2159086568</v>
      </c>
      <c r="BI22" s="1">
        <f t="shared" si="50"/>
        <v>4605210.7051132238</v>
      </c>
      <c r="BJ22" s="1">
        <f t="shared" si="50"/>
        <v>4374950.1698575625</v>
      </c>
      <c r="BK22" s="1">
        <f t="shared" si="50"/>
        <v>4156202.6613646843</v>
      </c>
      <c r="BL22" s="1">
        <f t="shared" si="50"/>
        <v>3948392.5282964502</v>
      </c>
      <c r="BM22" s="1">
        <f t="shared" si="50"/>
        <v>3750972.9018816273</v>
      </c>
      <c r="BN22" s="1">
        <f t="shared" si="50"/>
        <v>3563424.2567875455</v>
      </c>
      <c r="BO22" s="1">
        <f t="shared" si="50"/>
        <v>3385253.0439481679</v>
      </c>
      <c r="BP22" s="1">
        <f t="shared" si="50"/>
        <v>3215990.3917507594</v>
      </c>
      <c r="BQ22" s="1">
        <f t="shared" si="50"/>
        <v>3055190.8721632212</v>
      </c>
      <c r="BR22" s="1">
        <f t="shared" si="50"/>
        <v>2902431.3285550601</v>
      </c>
      <c r="BS22" s="1">
        <f t="shared" si="50"/>
        <v>2757309.7621273068</v>
      </c>
      <c r="BT22" s="1">
        <f t="shared" si="50"/>
        <v>2619444.2740209415</v>
      </c>
      <c r="BU22" s="1">
        <f t="shared" si="50"/>
        <v>2488472.0603198945</v>
      </c>
      <c r="BV22" s="1">
        <f t="shared" si="50"/>
        <v>2364048.4573038998</v>
      </c>
      <c r="BW22" s="1">
        <f t="shared" si="50"/>
        <v>2245846.0344387046</v>
      </c>
      <c r="BX22" s="1">
        <f t="shared" si="50"/>
        <v>2133553.7327167694</v>
      </c>
      <c r="BY22" s="1">
        <f t="shared" si="50"/>
        <v>2026876.0460809309</v>
      </c>
      <c r="BZ22" s="1">
        <f t="shared" si="50"/>
        <v>1925532.2437768842</v>
      </c>
      <c r="CA22" s="1">
        <f t="shared" si="50"/>
        <v>1829255.6315880399</v>
      </c>
      <c r="CB22" s="1">
        <f t="shared" si="50"/>
        <v>1737792.8500086379</v>
      </c>
      <c r="CC22" s="1">
        <f t="shared" si="50"/>
        <v>1650903.2075082059</v>
      </c>
      <c r="CD22" s="1">
        <f t="shared" si="50"/>
        <v>1568358.0471327954</v>
      </c>
      <c r="CE22" s="1">
        <f t="shared" si="50"/>
        <v>1489940.1447761557</v>
      </c>
      <c r="CF22" s="1">
        <f t="shared" si="50"/>
        <v>1415443.1375373479</v>
      </c>
      <c r="CG22" s="1">
        <f t="shared" si="50"/>
        <v>1344670.9806604804</v>
      </c>
      <c r="CH22" s="1">
        <f t="shared" si="50"/>
        <v>1277437.4316274563</v>
      </c>
      <c r="CI22" s="1">
        <f t="shared" si="50"/>
        <v>1213565.5600460835</v>
      </c>
      <c r="CJ22" s="1">
        <f t="shared" si="50"/>
        <v>1152887.2820437793</v>
      </c>
      <c r="CK22" s="1">
        <f t="shared" si="50"/>
        <v>1095242.9179415903</v>
      </c>
      <c r="CL22" s="1">
        <f t="shared" si="50"/>
        <v>1040480.7720445107</v>
      </c>
      <c r="CM22" s="1">
        <f t="shared" si="50"/>
        <v>988456.7334422851</v>
      </c>
      <c r="CN22" s="1">
        <f t="shared" si="50"/>
        <v>939033.89677017077</v>
      </c>
      <c r="CO22" s="1">
        <f t="shared" si="50"/>
        <v>892082.20193166216</v>
      </c>
      <c r="CP22" s="1">
        <f t="shared" si="50"/>
        <v>847478.09183507902</v>
      </c>
      <c r="CQ22" s="1">
        <f t="shared" si="50"/>
        <v>805104.18724332505</v>
      </c>
      <c r="CR22" s="1">
        <f t="shared" si="50"/>
        <v>764848.97788115882</v>
      </c>
      <c r="CS22" s="1">
        <f t="shared" si="50"/>
        <v>726606.52898710081</v>
      </c>
      <c r="CT22" s="1">
        <f t="shared" si="50"/>
        <v>690276.2025377457</v>
      </c>
      <c r="CU22" s="1">
        <f t="shared" si="50"/>
        <v>655762.39241085842</v>
      </c>
      <c r="CV22" s="1">
        <f t="shared" si="50"/>
        <v>622974.27279031544</v>
      </c>
      <c r="CW22" s="1">
        <f t="shared" si="50"/>
        <v>591825.55915079964</v>
      </c>
      <c r="CX22" s="1">
        <f t="shared" si="50"/>
        <v>562234.28119325964</v>
      </c>
      <c r="CY22" s="1">
        <f t="shared" si="50"/>
        <v>534122.56713359663</v>
      </c>
      <c r="CZ22" s="1">
        <f t="shared" si="50"/>
        <v>507416.43877691677</v>
      </c>
      <c r="DA22" s="1">
        <f t="shared" si="50"/>
        <v>482045.61683807091</v>
      </c>
      <c r="DB22" s="1">
        <f t="shared" si="50"/>
        <v>457943.33599616733</v>
      </c>
      <c r="DC22" s="1">
        <f t="shared" si="50"/>
        <v>435046.16919635894</v>
      </c>
      <c r="DD22" s="1">
        <f t="shared" si="50"/>
        <v>413293.86073654098</v>
      </c>
      <c r="DE22" s="1">
        <f t="shared" si="50"/>
        <v>392629.1676997139</v>
      </c>
      <c r="DF22" s="1">
        <f t="shared" si="50"/>
        <v>372997.70931472821</v>
      </c>
      <c r="DG22" s="1">
        <f t="shared" si="50"/>
        <v>354347.82384899177</v>
      </c>
      <c r="DH22" s="1">
        <f t="shared" si="50"/>
        <v>336630.43265654217</v>
      </c>
      <c r="DI22" s="1">
        <f t="shared" si="50"/>
        <v>319798.91102371505</v>
      </c>
      <c r="DJ22" s="1">
        <f t="shared" si="50"/>
        <v>303808.96547252929</v>
      </c>
      <c r="DK22" s="1">
        <f t="shared" si="50"/>
        <v>288618.51719890279</v>
      </c>
      <c r="DL22" s="1">
        <f t="shared" si="50"/>
        <v>274187.59133895766</v>
      </c>
      <c r="DM22" s="1">
        <f t="shared" si="50"/>
        <v>260478.21177200976</v>
      </c>
      <c r="DN22" s="1">
        <f t="shared" si="50"/>
        <v>247454.30118340926</v>
      </c>
      <c r="DO22" s="1">
        <f t="shared" si="50"/>
        <v>235081.58612423879</v>
      </c>
      <c r="DP22" s="1">
        <f t="shared" si="50"/>
        <v>223327.50681802683</v>
      </c>
      <c r="DQ22" s="1">
        <f t="shared" si="50"/>
        <v>212161.13147712548</v>
      </c>
      <c r="DR22" s="1">
        <f t="shared" si="50"/>
        <v>201553.07490326921</v>
      </c>
      <c r="DS22" s="1">
        <f t="shared" si="50"/>
        <v>191475.42115810575</v>
      </c>
      <c r="DT22" s="1">
        <f t="shared" si="50"/>
        <v>181901.65010020044</v>
      </c>
      <c r="DU22" s="1">
        <f t="shared" si="50"/>
        <v>172806.5675951904</v>
      </c>
      <c r="DV22" s="1">
        <f t="shared" si="50"/>
        <v>164166.23921543086</v>
      </c>
      <c r="DW22" s="1">
        <f t="shared" si="50"/>
        <v>155957.9272546593</v>
      </c>
      <c r="DX22" s="1">
        <f t="shared" si="50"/>
        <v>148160.03089192632</v>
      </c>
    </row>
    <row r="23" spans="2:128" ht="14.25" customHeight="1" x14ac:dyDescent="0.3">
      <c r="B23" s="3" t="s">
        <v>69</v>
      </c>
      <c r="C23" s="26">
        <f t="shared" ref="C23:N23" si="51">C20/C24</f>
        <v>0.498</v>
      </c>
      <c r="D23" s="26">
        <f t="shared" si="51"/>
        <v>0.51050000000000006</v>
      </c>
      <c r="E23" s="26">
        <f t="shared" si="51"/>
        <v>0.82750000000000001</v>
      </c>
      <c r="F23" s="26">
        <f t="shared" si="51"/>
        <v>1.1214999999999997</v>
      </c>
      <c r="G23" s="26">
        <f t="shared" si="51"/>
        <v>1.3314999999999999</v>
      </c>
      <c r="H23" s="26">
        <f t="shared" si="51"/>
        <v>1.3845000000000001</v>
      </c>
      <c r="I23" s="26">
        <f t="shared" si="51"/>
        <v>1.4220000000000002</v>
      </c>
      <c r="J23" s="26">
        <f t="shared" si="51"/>
        <v>1.556</v>
      </c>
      <c r="K23" s="26">
        <f t="shared" si="51"/>
        <v>1.2449999999999999</v>
      </c>
      <c r="L23" s="26">
        <f t="shared" si="51"/>
        <v>1.21</v>
      </c>
      <c r="M23" s="26">
        <f t="shared" si="51"/>
        <v>1.3200646407739454</v>
      </c>
      <c r="N23" s="26">
        <f t="shared" si="51"/>
        <v>1.5462779050188382</v>
      </c>
      <c r="O23" s="4"/>
      <c r="P23" s="4"/>
      <c r="Q23" s="4"/>
      <c r="R23" s="26">
        <f t="shared" ref="R23:Z23" si="52">R20/R24</f>
        <v>2.4795000000000003</v>
      </c>
      <c r="S23" s="26">
        <f t="shared" si="52"/>
        <v>2.9574999999999996</v>
      </c>
      <c r="T23" s="26">
        <f t="shared" si="52"/>
        <v>5.694</v>
      </c>
      <c r="U23" s="26">
        <f t="shared" si="52"/>
        <v>5.3026937959035081</v>
      </c>
      <c r="V23" s="26">
        <f t="shared" si="52"/>
        <v>6.6951903687996213</v>
      </c>
      <c r="W23" s="26">
        <f t="shared" si="52"/>
        <v>8.2816290486932171</v>
      </c>
      <c r="X23" s="26">
        <f t="shared" si="52"/>
        <v>9.6639375579030258</v>
      </c>
      <c r="Y23" s="26">
        <f t="shared" si="52"/>
        <v>11.242285200190299</v>
      </c>
      <c r="Z23" s="26">
        <f t="shared" si="52"/>
        <v>13.008070378954194</v>
      </c>
      <c r="AA23" s="1">
        <f t="shared" ref="AA23:AH23" si="53">Z23*1.05</f>
        <v>13.658473897901905</v>
      </c>
      <c r="AB23" s="1">
        <f t="shared" si="53"/>
        <v>14.341397592797</v>
      </c>
      <c r="AC23" s="1">
        <f t="shared" si="53"/>
        <v>15.058467472436851</v>
      </c>
      <c r="AD23" s="1">
        <f t="shared" si="53"/>
        <v>15.811390846058694</v>
      </c>
      <c r="AE23" s="1">
        <f t="shared" si="53"/>
        <v>16.601960388361629</v>
      </c>
      <c r="AF23" s="1">
        <f t="shared" si="53"/>
        <v>17.43205840777971</v>
      </c>
      <c r="AG23" s="1">
        <f t="shared" si="53"/>
        <v>18.303661328168698</v>
      </c>
      <c r="AH23" s="1">
        <f t="shared" si="53"/>
        <v>19.218844394577133</v>
      </c>
      <c r="AI23" s="1">
        <f t="shared" ref="AI23:AV23" si="54">AH23*1</f>
        <v>19.218844394577133</v>
      </c>
      <c r="AJ23" s="1">
        <f t="shared" si="54"/>
        <v>19.218844394577133</v>
      </c>
      <c r="AK23" s="1">
        <f t="shared" si="54"/>
        <v>19.218844394577133</v>
      </c>
      <c r="AL23" s="1">
        <f t="shared" si="54"/>
        <v>19.218844394577133</v>
      </c>
      <c r="AM23" s="1">
        <f t="shared" si="54"/>
        <v>19.218844394577133</v>
      </c>
      <c r="AN23" s="1">
        <f t="shared" si="54"/>
        <v>19.218844394577133</v>
      </c>
      <c r="AO23" s="1">
        <f t="shared" si="54"/>
        <v>19.218844394577133</v>
      </c>
      <c r="AP23" s="1">
        <f t="shared" si="54"/>
        <v>19.218844394577133</v>
      </c>
      <c r="AQ23" s="1">
        <f t="shared" si="54"/>
        <v>19.218844394577133</v>
      </c>
      <c r="AR23" s="1">
        <f t="shared" si="54"/>
        <v>19.218844394577133</v>
      </c>
      <c r="AS23" s="1">
        <f t="shared" si="54"/>
        <v>19.218844394577133</v>
      </c>
      <c r="AT23" s="1">
        <f t="shared" si="54"/>
        <v>19.218844394577133</v>
      </c>
      <c r="AU23" s="1">
        <f t="shared" si="54"/>
        <v>19.218844394577133</v>
      </c>
      <c r="AV23" s="1">
        <f t="shared" si="54"/>
        <v>19.218844394577133</v>
      </c>
      <c r="AW23" s="1">
        <f t="shared" ref="AW23:CH23" si="55">AV23*0.95</f>
        <v>18.257902174848276</v>
      </c>
      <c r="AX23" s="1">
        <f t="shared" si="55"/>
        <v>17.345007066105861</v>
      </c>
      <c r="AY23" s="1">
        <f t="shared" si="55"/>
        <v>16.477756712800566</v>
      </c>
      <c r="AZ23" s="1">
        <f t="shared" si="55"/>
        <v>15.653868877160537</v>
      </c>
      <c r="BA23" s="1">
        <f t="shared" si="55"/>
        <v>14.871175433302509</v>
      </c>
      <c r="BB23" s="1">
        <f t="shared" si="55"/>
        <v>14.127616661637383</v>
      </c>
      <c r="BC23" s="1">
        <f t="shared" si="55"/>
        <v>13.421235828555513</v>
      </c>
      <c r="BD23" s="1">
        <f t="shared" si="55"/>
        <v>12.750174037127737</v>
      </c>
      <c r="BE23" s="1">
        <f t="shared" si="55"/>
        <v>12.11266533527135</v>
      </c>
      <c r="BF23" s="1">
        <f t="shared" si="55"/>
        <v>11.507032068507781</v>
      </c>
      <c r="BG23" s="1">
        <f t="shared" si="55"/>
        <v>10.931680465082392</v>
      </c>
      <c r="BH23" s="1">
        <f t="shared" si="55"/>
        <v>10.385096441828273</v>
      </c>
      <c r="BI23" s="1">
        <f t="shared" si="55"/>
        <v>9.8658416197368588</v>
      </c>
      <c r="BJ23" s="1">
        <f t="shared" si="55"/>
        <v>9.3725495387500146</v>
      </c>
      <c r="BK23" s="1">
        <f t="shared" si="55"/>
        <v>8.9039220618125139</v>
      </c>
      <c r="BL23" s="1">
        <f t="shared" si="55"/>
        <v>8.458725958721887</v>
      </c>
      <c r="BM23" s="1">
        <f t="shared" si="55"/>
        <v>8.0357896607857917</v>
      </c>
      <c r="BN23" s="1">
        <f t="shared" si="55"/>
        <v>7.6340001777465014</v>
      </c>
      <c r="BO23" s="1">
        <f t="shared" si="55"/>
        <v>7.2523001688591764</v>
      </c>
      <c r="BP23" s="1">
        <f t="shared" si="55"/>
        <v>6.8896851604162173</v>
      </c>
      <c r="BQ23" s="1">
        <f t="shared" si="55"/>
        <v>6.5452009023954059</v>
      </c>
      <c r="BR23" s="1">
        <f t="shared" si="55"/>
        <v>6.2179408572756349</v>
      </c>
      <c r="BS23" s="1">
        <f t="shared" si="55"/>
        <v>5.9070438144118533</v>
      </c>
      <c r="BT23" s="1">
        <f t="shared" si="55"/>
        <v>5.6116916236912608</v>
      </c>
      <c r="BU23" s="1">
        <f t="shared" si="55"/>
        <v>5.331107042506698</v>
      </c>
      <c r="BV23" s="1">
        <f t="shared" si="55"/>
        <v>5.0645516903813625</v>
      </c>
      <c r="BW23" s="1">
        <f t="shared" si="55"/>
        <v>4.811324105862294</v>
      </c>
      <c r="BX23" s="1">
        <f t="shared" si="55"/>
        <v>4.5707579005691787</v>
      </c>
      <c r="BY23" s="1">
        <f t="shared" si="55"/>
        <v>4.3422200055407192</v>
      </c>
      <c r="BZ23" s="1">
        <f t="shared" si="55"/>
        <v>4.125109005263683</v>
      </c>
      <c r="CA23" s="1">
        <f t="shared" si="55"/>
        <v>3.9188535550004988</v>
      </c>
      <c r="CB23" s="1">
        <f t="shared" si="55"/>
        <v>3.7229108772504738</v>
      </c>
      <c r="CC23" s="1">
        <f t="shared" si="55"/>
        <v>3.5367653333879501</v>
      </c>
      <c r="CD23" s="1">
        <f t="shared" si="55"/>
        <v>3.3599270667185523</v>
      </c>
      <c r="CE23" s="1">
        <f t="shared" si="55"/>
        <v>3.1919307133826247</v>
      </c>
      <c r="CF23" s="1">
        <f t="shared" si="55"/>
        <v>3.0323341777134933</v>
      </c>
      <c r="CG23" s="1">
        <f t="shared" si="55"/>
        <v>2.8807174688278185</v>
      </c>
      <c r="CH23" s="1">
        <f t="shared" si="55"/>
        <v>2.7366815953864276</v>
      </c>
    </row>
    <row r="24" spans="2:128" ht="14.25" customHeight="1" x14ac:dyDescent="0.3">
      <c r="B24" s="1" t="s">
        <v>70</v>
      </c>
      <c r="C24" s="4">
        <f t="shared" ref="C24:K24" si="56">C20/C22*20</f>
        <v>13726.907630522088</v>
      </c>
      <c r="D24" s="4">
        <f t="shared" si="56"/>
        <v>13631.733594515181</v>
      </c>
      <c r="E24" s="4">
        <f t="shared" si="56"/>
        <v>13591.54078549849</v>
      </c>
      <c r="F24" s="4">
        <f t="shared" si="56"/>
        <v>13577.351761034333</v>
      </c>
      <c r="G24" s="4">
        <f t="shared" si="56"/>
        <v>13466.015771686069</v>
      </c>
      <c r="H24" s="4">
        <f t="shared" si="56"/>
        <v>13380.281690140844</v>
      </c>
      <c r="I24" s="4">
        <f t="shared" si="56"/>
        <v>13316.455696202531</v>
      </c>
      <c r="J24" s="4">
        <f t="shared" si="56"/>
        <v>13266.066838046272</v>
      </c>
      <c r="K24" s="4">
        <f t="shared" si="56"/>
        <v>13201.606425702812</v>
      </c>
      <c r="L24" s="4">
        <f>Main!H15</f>
        <v>13224.793388429753</v>
      </c>
      <c r="M24" s="4">
        <f t="shared" ref="M24:N24" si="57">L24-216</f>
        <v>13008.793388429753</v>
      </c>
      <c r="N24" s="25">
        <f t="shared" si="57"/>
        <v>12792.793388429753</v>
      </c>
      <c r="O24" s="4"/>
      <c r="P24" s="4"/>
      <c r="Q24" s="4"/>
      <c r="R24" s="4">
        <f t="shared" ref="R24:T24" si="58">R20/R22*20</f>
        <v>14535.188546077836</v>
      </c>
      <c r="S24" s="4">
        <f t="shared" si="58"/>
        <v>13615.891800507186</v>
      </c>
      <c r="T24" s="4">
        <f t="shared" si="58"/>
        <v>13353.178784685635</v>
      </c>
      <c r="U24" s="4">
        <f>T24*(1+U25)</f>
        <v>13086.115208991921</v>
      </c>
      <c r="V24" s="4">
        <f t="shared" ref="V24:Z24" si="59">U25*U24+U24</f>
        <v>12824.392904812083</v>
      </c>
      <c r="W24" s="4">
        <f t="shared" si="59"/>
        <v>12567.905046715841</v>
      </c>
      <c r="X24" s="4">
        <f t="shared" si="59"/>
        <v>12442.225996248682</v>
      </c>
      <c r="Y24" s="4">
        <f t="shared" si="59"/>
        <v>12317.803736286196</v>
      </c>
      <c r="Z24" s="4">
        <f t="shared" si="59"/>
        <v>12194.625698923333</v>
      </c>
    </row>
    <row r="25" spans="2:128" ht="14.25" customHeight="1" x14ac:dyDescent="0.3">
      <c r="B25" s="1" t="s">
        <v>71</v>
      </c>
      <c r="C25" s="4"/>
      <c r="D25" s="28">
        <f t="shared" ref="D25:L25" si="60">D24/C24-1</f>
        <v>-6.9333923246693852E-3</v>
      </c>
      <c r="E25" s="28">
        <f t="shared" si="60"/>
        <v>-2.9484737754017498E-3</v>
      </c>
      <c r="F25" s="28">
        <f t="shared" si="60"/>
        <v>-1.0439599665768018E-3</v>
      </c>
      <c r="G25" s="28">
        <f t="shared" si="60"/>
        <v>-8.2001255699796216E-3</v>
      </c>
      <c r="H25" s="28">
        <f t="shared" si="60"/>
        <v>-6.3666999206618557E-3</v>
      </c>
      <c r="I25" s="28">
        <f t="shared" si="60"/>
        <v>-4.7701532311792416E-3</v>
      </c>
      <c r="J25" s="28">
        <f t="shared" si="60"/>
        <v>-3.7839541771335083E-3</v>
      </c>
      <c r="K25" s="28">
        <f t="shared" si="60"/>
        <v>-4.8590447440376439E-3</v>
      </c>
      <c r="L25" s="28">
        <f t="shared" si="60"/>
        <v>1.7563743365198725E-3</v>
      </c>
      <c r="M25" s="28"/>
      <c r="N25" s="29"/>
      <c r="O25" s="4"/>
      <c r="P25" s="4"/>
      <c r="Q25" s="4"/>
      <c r="R25" s="4"/>
      <c r="S25" s="30">
        <f t="shared" ref="S25:T25" si="61">S24/R24-1</f>
        <v>-6.32462896959608E-2</v>
      </c>
      <c r="T25" s="30">
        <f t="shared" si="61"/>
        <v>-1.9294587506325955E-2</v>
      </c>
      <c r="U25" s="30">
        <v>-0.02</v>
      </c>
      <c r="V25" s="30">
        <v>-0.02</v>
      </c>
      <c r="W25" s="30">
        <v>-0.01</v>
      </c>
      <c r="X25" s="30">
        <v>-0.01</v>
      </c>
      <c r="Y25" s="30">
        <v>-0.01</v>
      </c>
      <c r="Z25" s="30">
        <v>-0.01</v>
      </c>
    </row>
    <row r="26" spans="2:128" ht="14.25" customHeight="1" x14ac:dyDescent="0.3"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8" ht="14.25" customHeight="1" x14ac:dyDescent="0.3">
      <c r="B27" s="1" t="s">
        <v>59</v>
      </c>
      <c r="C27" s="30">
        <f t="shared" ref="C27:L27" si="62">C12/C10</f>
        <v>0.53881289632887097</v>
      </c>
      <c r="D27" s="30">
        <f t="shared" si="62"/>
        <v>0.51554952085019712</v>
      </c>
      <c r="E27" s="30">
        <f t="shared" si="62"/>
        <v>0.54265479825872265</v>
      </c>
      <c r="F27" s="30">
        <f t="shared" si="62"/>
        <v>0.54163590987380927</v>
      </c>
      <c r="G27" s="30">
        <f t="shared" si="62"/>
        <v>0.56425136493473627</v>
      </c>
      <c r="H27" s="30">
        <f t="shared" si="62"/>
        <v>0.57616354234001288</v>
      </c>
      <c r="I27" s="30">
        <f t="shared" si="62"/>
        <v>0.57583156730857832</v>
      </c>
      <c r="J27" s="30">
        <f t="shared" si="62"/>
        <v>0.56205774975107869</v>
      </c>
      <c r="K27" s="30">
        <f t="shared" si="62"/>
        <v>0.5647909896928438</v>
      </c>
      <c r="L27" s="30">
        <f t="shared" si="62"/>
        <v>0.56799885197675248</v>
      </c>
      <c r="M27" s="31">
        <v>0.56999999999999995</v>
      </c>
      <c r="N27" s="31">
        <v>0.56999999999999995</v>
      </c>
      <c r="R27" s="30">
        <f t="shared" ref="R27:U27" si="63">R12/R10</f>
        <v>0.5558054331910266</v>
      </c>
      <c r="S27" s="30">
        <f t="shared" si="63"/>
        <v>0.53578374706207854</v>
      </c>
      <c r="T27" s="30">
        <f t="shared" si="63"/>
        <v>0.5693980290098084</v>
      </c>
      <c r="U27" s="30">
        <f t="shared" si="63"/>
        <v>0.56832382782698387</v>
      </c>
      <c r="V27" s="30">
        <v>0.56000000000000005</v>
      </c>
      <c r="W27" s="30">
        <v>0.56000000000000005</v>
      </c>
      <c r="X27" s="30">
        <v>0.56000000000000005</v>
      </c>
      <c r="Y27" s="30">
        <v>0.56000000000000005</v>
      </c>
      <c r="Z27" s="30">
        <v>0.56000000000000005</v>
      </c>
      <c r="AE27" s="1" t="s">
        <v>72</v>
      </c>
      <c r="AF27" s="30">
        <v>0.15</v>
      </c>
    </row>
    <row r="28" spans="2:128" ht="14.25" customHeight="1" x14ac:dyDescent="0.3">
      <c r="B28" s="3" t="s">
        <v>73</v>
      </c>
      <c r="C28" s="30">
        <f t="shared" ref="C28:L28" si="64">C16/C10</f>
        <v>0.1938093734055735</v>
      </c>
      <c r="D28" s="30">
        <f t="shared" si="64"/>
        <v>0.1666710186176463</v>
      </c>
      <c r="E28" s="30">
        <f t="shared" si="64"/>
        <v>0.24284755159941956</v>
      </c>
      <c r="F28" s="30">
        <f t="shared" si="64"/>
        <v>0.27507118000632713</v>
      </c>
      <c r="G28" s="30">
        <f t="shared" si="64"/>
        <v>0.29715804317171057</v>
      </c>
      <c r="H28" s="30">
        <f t="shared" si="64"/>
        <v>0.312879767291532</v>
      </c>
      <c r="I28" s="30">
        <f t="shared" si="64"/>
        <v>0.32296753585798088</v>
      </c>
      <c r="J28" s="30">
        <f t="shared" si="64"/>
        <v>0.29054098904746101</v>
      </c>
      <c r="K28" s="30">
        <f t="shared" si="64"/>
        <v>0.29545220626075192</v>
      </c>
      <c r="L28" s="30">
        <f t="shared" si="64"/>
        <v>0.279156202913109</v>
      </c>
      <c r="M28" s="31">
        <v>0.28000000000000003</v>
      </c>
      <c r="N28" s="31">
        <v>0.28000000000000003</v>
      </c>
      <c r="O28" s="30"/>
      <c r="R28" s="30">
        <f t="shared" ref="R28:Z28" si="65">R16/R10</f>
        <v>0.22197371754079218</v>
      </c>
      <c r="S28" s="30">
        <f t="shared" si="65"/>
        <v>0.22585151785763202</v>
      </c>
      <c r="T28" s="30">
        <f t="shared" si="65"/>
        <v>0.3055228868524319</v>
      </c>
      <c r="U28" s="30">
        <f t="shared" si="65"/>
        <v>0.29143663015382543</v>
      </c>
      <c r="V28" s="30">
        <f t="shared" si="65"/>
        <v>0.28021199928042578</v>
      </c>
      <c r="W28" s="30">
        <f t="shared" si="65"/>
        <v>0.28483643948945886</v>
      </c>
      <c r="X28" s="30">
        <f t="shared" si="65"/>
        <v>0.28214016314013823</v>
      </c>
      <c r="Y28" s="30">
        <f t="shared" si="65"/>
        <v>0.27876487045195342</v>
      </c>
      <c r="Z28" s="30">
        <f t="shared" si="65"/>
        <v>0.27431926436207882</v>
      </c>
      <c r="AD28" s="47" t="s">
        <v>74</v>
      </c>
      <c r="AE28" s="48">
        <f t="array" ref="AE28">NPV(AF27,V23:CH23)+M23+N23</f>
        <v>89.285029284943434</v>
      </c>
    </row>
    <row r="29" spans="2:128" ht="14.25" customHeight="1" x14ac:dyDescent="0.3">
      <c r="B29" s="1" t="s">
        <v>75</v>
      </c>
      <c r="C29" s="30">
        <f t="shared" ref="C29:L29" si="66">C20/C10</f>
        <v>0.16608761145800433</v>
      </c>
      <c r="D29" s="30">
        <f t="shared" si="66"/>
        <v>0.1817113612032274</v>
      </c>
      <c r="E29" s="30">
        <f t="shared" si="66"/>
        <v>0.24358391267623936</v>
      </c>
      <c r="F29" s="30">
        <f t="shared" si="66"/>
        <v>0.26761924847973567</v>
      </c>
      <c r="G29" s="30">
        <f t="shared" si="66"/>
        <v>0.32414940159814876</v>
      </c>
      <c r="H29" s="30">
        <f t="shared" si="66"/>
        <v>0.29936974789915966</v>
      </c>
      <c r="I29" s="30">
        <f t="shared" si="66"/>
        <v>0.29079517184188702</v>
      </c>
      <c r="J29" s="30">
        <f t="shared" si="66"/>
        <v>0.2740391636242947</v>
      </c>
      <c r="K29" s="30">
        <f t="shared" si="66"/>
        <v>0.24166678919586537</v>
      </c>
      <c r="L29" s="30">
        <f t="shared" si="66"/>
        <v>0.22963335007533903</v>
      </c>
      <c r="M29" s="31">
        <v>0.23</v>
      </c>
      <c r="N29" s="31">
        <v>0.23</v>
      </c>
      <c r="R29" s="30">
        <f t="shared" ref="R29:Z29" si="67">R20/R10</f>
        <v>0.22266568637748135</v>
      </c>
      <c r="S29" s="30">
        <f t="shared" si="67"/>
        <v>0.22061941520980458</v>
      </c>
      <c r="T29" s="30">
        <f t="shared" si="67"/>
        <v>0.29511677282377918</v>
      </c>
      <c r="U29" s="30">
        <f t="shared" si="67"/>
        <v>0.23558367651384432</v>
      </c>
      <c r="V29" s="30">
        <f t="shared" si="67"/>
        <v>0.25233990113632554</v>
      </c>
      <c r="W29" s="30">
        <f t="shared" si="67"/>
        <v>0.25761345243763678</v>
      </c>
      <c r="X29" s="30">
        <f t="shared" si="67"/>
        <v>0.25723876532640472</v>
      </c>
      <c r="Y29" s="30">
        <f t="shared" si="67"/>
        <v>0.2565612003924479</v>
      </c>
      <c r="Z29" s="30">
        <f t="shared" si="67"/>
        <v>0.25531989048687809</v>
      </c>
      <c r="AD29" s="1" t="s">
        <v>76</v>
      </c>
      <c r="AE29" s="10">
        <f>Main!D12</f>
        <v>108.73906949131359</v>
      </c>
    </row>
    <row r="30" spans="2:128" ht="14.25" customHeight="1" x14ac:dyDescent="0.3">
      <c r="B30" s="1" t="s">
        <v>77</v>
      </c>
      <c r="C30" s="30">
        <f t="shared" ref="C30:L30" si="68">C19/C18</f>
        <v>0.11873146835116669</v>
      </c>
      <c r="D30" s="30">
        <f t="shared" si="68"/>
        <v>0.15923643832306392</v>
      </c>
      <c r="E30" s="30">
        <f t="shared" si="68"/>
        <v>0.15809566584325174</v>
      </c>
      <c r="F30" s="30">
        <f t="shared" si="68"/>
        <v>0.18524265610787094</v>
      </c>
      <c r="G30" s="30">
        <f t="shared" si="68"/>
        <v>0.15754357938260583</v>
      </c>
      <c r="H30" s="30">
        <f t="shared" si="68"/>
        <v>0.15738003183989083</v>
      </c>
      <c r="I30" s="30">
        <f t="shared" si="68"/>
        <v>0.17898022892819979</v>
      </c>
      <c r="J30" s="30">
        <f t="shared" si="68"/>
        <v>0.15408573067781328</v>
      </c>
      <c r="K30" s="30">
        <f t="shared" si="68"/>
        <v>0.13193197422625963</v>
      </c>
      <c r="L30" s="30">
        <f t="shared" si="68"/>
        <v>0.15840959293152415</v>
      </c>
      <c r="M30" s="31">
        <v>0.157</v>
      </c>
      <c r="N30" s="31">
        <v>0.16</v>
      </c>
      <c r="R30" s="30"/>
      <c r="S30" s="30"/>
      <c r="T30" s="30"/>
      <c r="U30" s="30"/>
      <c r="V30" s="30">
        <f t="shared" ref="V30:Z30" si="69">15%</f>
        <v>0.15</v>
      </c>
      <c r="W30" s="30">
        <f t="shared" si="69"/>
        <v>0.15</v>
      </c>
      <c r="X30" s="30">
        <f t="shared" si="69"/>
        <v>0.15</v>
      </c>
      <c r="Y30" s="30">
        <f t="shared" si="69"/>
        <v>0.15</v>
      </c>
      <c r="Z30" s="30">
        <f t="shared" si="69"/>
        <v>0.15</v>
      </c>
    </row>
    <row r="31" spans="2:128" ht="14.25" customHeight="1" x14ac:dyDescent="0.3">
      <c r="C31" s="4"/>
      <c r="D31" s="4"/>
      <c r="E31" s="4"/>
      <c r="F31" s="4"/>
      <c r="G31" s="4"/>
      <c r="H31" s="4"/>
      <c r="I31" s="4"/>
      <c r="J31" s="4"/>
      <c r="K31" s="4"/>
      <c r="L31" s="10"/>
      <c r="M31" s="10"/>
      <c r="N31" s="10"/>
      <c r="R31" s="4"/>
      <c r="S31" s="4"/>
      <c r="T31" s="4"/>
      <c r="U31" s="4"/>
      <c r="AD31" s="49" t="s">
        <v>78</v>
      </c>
      <c r="AE31" s="50">
        <f>AE28/AE29-1</f>
        <v>-0.17890570792427285</v>
      </c>
    </row>
    <row r="32" spans="2:128" ht="14.25" customHeight="1" x14ac:dyDescent="0.3">
      <c r="B32" s="1" t="s">
        <v>79</v>
      </c>
      <c r="C32" s="4"/>
      <c r="D32" s="4"/>
      <c r="E32" s="4"/>
      <c r="F32" s="4"/>
      <c r="G32" s="30">
        <f t="shared" ref="G32:N32" si="70">G10/C10-1</f>
        <v>0.34391020189994892</v>
      </c>
      <c r="H32" s="30">
        <f t="shared" si="70"/>
        <v>0.61579235971486024</v>
      </c>
      <c r="I32" s="30">
        <f t="shared" si="70"/>
        <v>0.41030472353973102</v>
      </c>
      <c r="J32" s="30">
        <f t="shared" si="70"/>
        <v>0.32386024113325607</v>
      </c>
      <c r="K32" s="30">
        <f t="shared" si="70"/>
        <v>0.22954405756228069</v>
      </c>
      <c r="L32" s="30">
        <f t="shared" si="70"/>
        <v>0.12613122171945701</v>
      </c>
      <c r="M32" s="30">
        <f t="shared" si="70"/>
        <v>0.11723763014834598</v>
      </c>
      <c r="N32" s="30">
        <f t="shared" si="70"/>
        <v>0.11654563557915698</v>
      </c>
      <c r="R32" s="30"/>
      <c r="S32" s="30">
        <f t="shared" ref="S32:Z32" si="71">S10/R10-1</f>
        <v>0.12770532012826141</v>
      </c>
      <c r="T32" s="30">
        <f t="shared" si="71"/>
        <v>0.41150076427049154</v>
      </c>
      <c r="U32" s="30">
        <f t="shared" si="71"/>
        <v>0.1432833016996784</v>
      </c>
      <c r="V32" s="30">
        <f t="shared" si="71"/>
        <v>0.15518548366726881</v>
      </c>
      <c r="W32" s="30">
        <f t="shared" si="71"/>
        <v>0.18739799130310275</v>
      </c>
      <c r="X32" s="30">
        <f t="shared" si="71"/>
        <v>0.15692620338938013</v>
      </c>
      <c r="Y32" s="30">
        <f t="shared" si="71"/>
        <v>0.1547317721498791</v>
      </c>
      <c r="Z32" s="30">
        <f t="shared" si="71"/>
        <v>0.15106488014958996</v>
      </c>
    </row>
    <row r="33" spans="2:49" ht="14.25" customHeight="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2:49" ht="14.25" customHeight="1" x14ac:dyDescent="0.3">
      <c r="B34" s="1" t="s">
        <v>80</v>
      </c>
      <c r="C34" s="4"/>
      <c r="D34" s="30">
        <f t="shared" ref="D34:F34" si="72">D13/C13-1</f>
        <v>8.0645161290322509E-3</v>
      </c>
      <c r="E34" s="30">
        <f t="shared" si="72"/>
        <v>-2.7636363636364125E-3</v>
      </c>
      <c r="F34" s="30">
        <f t="shared" si="72"/>
        <v>2.421236872812127E-2</v>
      </c>
      <c r="G34" s="30">
        <f t="shared" ref="G34:L34" si="73">G13/C13-1</f>
        <v>9.7507331378299034E-2</v>
      </c>
      <c r="H34" s="30">
        <f t="shared" si="73"/>
        <v>0.11636363636363645</v>
      </c>
      <c r="I34" s="30">
        <f t="shared" si="73"/>
        <v>0.12222870478413062</v>
      </c>
      <c r="J34" s="30">
        <f t="shared" si="73"/>
        <v>0.24010253489034472</v>
      </c>
      <c r="K34" s="30">
        <f t="shared" si="73"/>
        <v>0.21830327321309295</v>
      </c>
      <c r="L34" s="30">
        <f t="shared" si="73"/>
        <v>0.28221498371335496</v>
      </c>
      <c r="M34" s="30">
        <f>0.15</f>
        <v>0.15</v>
      </c>
      <c r="N34" s="30">
        <f t="shared" ref="N34:N36" si="74">M34</f>
        <v>0.15</v>
      </c>
      <c r="S34" s="30">
        <f t="shared" ref="S34:U34" si="75">S13/R13-1</f>
        <v>5.9766315627642452E-2</v>
      </c>
      <c r="T34" s="30">
        <f t="shared" si="75"/>
        <v>0.14467051100714468</v>
      </c>
      <c r="U34" s="30">
        <f t="shared" si="75"/>
        <v>0.1983492807806857</v>
      </c>
      <c r="V34" s="30">
        <f>15%</f>
        <v>0.15</v>
      </c>
      <c r="W34" s="30">
        <f t="shared" ref="W34:Z34" si="76">V34</f>
        <v>0.15</v>
      </c>
      <c r="X34" s="30">
        <f t="shared" si="76"/>
        <v>0.15</v>
      </c>
      <c r="Y34" s="30">
        <f t="shared" si="76"/>
        <v>0.15</v>
      </c>
      <c r="Z34" s="30">
        <f t="shared" si="76"/>
        <v>0.15</v>
      </c>
    </row>
    <row r="35" spans="2:49" ht="14.25" customHeight="1" x14ac:dyDescent="0.3">
      <c r="B35" s="1" t="s">
        <v>81</v>
      </c>
      <c r="C35" s="4"/>
      <c r="D35" s="30">
        <f t="shared" ref="D35:F35" si="77">D14/C14-1</f>
        <v>-0.13311111111111107</v>
      </c>
      <c r="E35" s="30">
        <f t="shared" si="77"/>
        <v>8.4593693924634783E-2</v>
      </c>
      <c r="F35" s="30">
        <f t="shared" si="77"/>
        <v>0.2559678562987473</v>
      </c>
      <c r="G35" s="30">
        <f t="shared" ref="G35:L35" si="78">G14/C14-1</f>
        <v>3.555555555555534E-3</v>
      </c>
      <c r="H35" s="30">
        <f t="shared" si="78"/>
        <v>0.35247372468597793</v>
      </c>
      <c r="I35" s="30">
        <f t="shared" si="78"/>
        <v>0.30371070668872613</v>
      </c>
      <c r="J35" s="30">
        <f t="shared" si="78"/>
        <v>0.43093714715844933</v>
      </c>
      <c r="K35" s="30">
        <f t="shared" si="78"/>
        <v>0.28985828166519045</v>
      </c>
      <c r="L35" s="30">
        <f t="shared" si="78"/>
        <v>0.25663381349507208</v>
      </c>
      <c r="M35" s="30">
        <f>0.2</f>
        <v>0.2</v>
      </c>
      <c r="N35" s="30">
        <f t="shared" si="74"/>
        <v>0.2</v>
      </c>
      <c r="S35" s="30">
        <f t="shared" ref="S35:U35" si="79">S14/R14-1</f>
        <v>-2.805459272097055E-2</v>
      </c>
      <c r="T35" s="30">
        <f t="shared" si="79"/>
        <v>0.27671904602696973</v>
      </c>
      <c r="U35" s="30">
        <f t="shared" si="79"/>
        <v>0.23075244413407825</v>
      </c>
      <c r="V35" s="30">
        <f>20%</f>
        <v>0.2</v>
      </c>
      <c r="W35" s="30">
        <f t="shared" ref="W35:Z35" si="80">V35</f>
        <v>0.2</v>
      </c>
      <c r="X35" s="30">
        <f t="shared" si="80"/>
        <v>0.2</v>
      </c>
      <c r="Y35" s="30">
        <f t="shared" si="80"/>
        <v>0.2</v>
      </c>
      <c r="Z35" s="30">
        <f t="shared" si="80"/>
        <v>0.2</v>
      </c>
    </row>
    <row r="36" spans="2:49" ht="14.25" customHeight="1" x14ac:dyDescent="0.3">
      <c r="B36" s="1" t="s">
        <v>82</v>
      </c>
      <c r="C36" s="4"/>
      <c r="D36" s="30">
        <f t="shared" ref="D36:F36" si="81">D15/C15-1</f>
        <v>-0.10243055555555558</v>
      </c>
      <c r="E36" s="30">
        <f t="shared" si="81"/>
        <v>6.6150870406189499E-2</v>
      </c>
      <c r="F36" s="30">
        <f t="shared" si="81"/>
        <v>2.7213352685050873E-2</v>
      </c>
      <c r="G36" s="30">
        <f t="shared" ref="G36:L36" si="82">G15/C15-1</f>
        <v>-3.7152777777777812E-2</v>
      </c>
      <c r="H36" s="30">
        <f t="shared" si="82"/>
        <v>0.29245647969052224</v>
      </c>
      <c r="I36" s="30">
        <f t="shared" si="82"/>
        <v>0.1814223512336719</v>
      </c>
      <c r="J36" s="30">
        <f t="shared" si="82"/>
        <v>0.46238078417520301</v>
      </c>
      <c r="K36" s="30">
        <f t="shared" si="82"/>
        <v>0.21673278038225741</v>
      </c>
      <c r="L36" s="30">
        <f t="shared" si="82"/>
        <v>9.4582460341215313E-2</v>
      </c>
      <c r="M36" s="30">
        <f>15%</f>
        <v>0.15</v>
      </c>
      <c r="N36" s="30">
        <f t="shared" si="74"/>
        <v>0.15</v>
      </c>
      <c r="S36" s="30">
        <f t="shared" ref="S36:U36" si="83">S15/R15-1</f>
        <v>0.15715631871008262</v>
      </c>
      <c r="T36" s="30">
        <f t="shared" si="83"/>
        <v>0.22240318494390166</v>
      </c>
      <c r="U36" s="30">
        <f t="shared" si="83"/>
        <v>0.14999259807549969</v>
      </c>
      <c r="V36" s="30">
        <f>N36</f>
        <v>0.15</v>
      </c>
      <c r="W36" s="30">
        <f t="shared" ref="W36:Z36" si="84">V36</f>
        <v>0.15</v>
      </c>
      <c r="X36" s="30">
        <f t="shared" si="84"/>
        <v>0.15</v>
      </c>
      <c r="Y36" s="30">
        <f t="shared" si="84"/>
        <v>0.15</v>
      </c>
      <c r="Z36" s="30">
        <f t="shared" si="84"/>
        <v>0.15</v>
      </c>
    </row>
    <row r="37" spans="2:49" ht="14.25" customHeight="1" x14ac:dyDescent="0.3"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2:49" ht="14.25" customHeight="1" x14ac:dyDescent="0.3">
      <c r="B38" s="1" t="s">
        <v>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S38" s="30">
        <f>S23/R23-1</f>
        <v>0.19278080258116526</v>
      </c>
      <c r="T38" s="30">
        <f t="shared" ref="T38:Z38" si="85">T23/S23-1</f>
        <v>0.92527472527472554</v>
      </c>
      <c r="U38" s="30">
        <f t="shared" si="85"/>
        <v>-6.8722550772127078E-2</v>
      </c>
      <c r="V38" s="30">
        <f t="shared" si="85"/>
        <v>0.26260173159005684</v>
      </c>
      <c r="W38" s="30">
        <f t="shared" si="85"/>
        <v>0.23695198978756271</v>
      </c>
      <c r="X38" s="30">
        <f t="shared" si="85"/>
        <v>0.16691263289894964</v>
      </c>
      <c r="Y38" s="30">
        <f t="shared" si="85"/>
        <v>0.16332345204326404</v>
      </c>
      <c r="Z38" s="30">
        <f t="shared" si="85"/>
        <v>0.15706639240338838</v>
      </c>
      <c r="AA38" s="30">
        <f>AA23/Z23-1</f>
        <v>5.0000000000000044E-2</v>
      </c>
      <c r="AB38" s="30">
        <f t="shared" ref="AB38:AW38" si="86">AB23/AA23-1</f>
        <v>5.0000000000000044E-2</v>
      </c>
      <c r="AC38" s="30">
        <f t="shared" si="86"/>
        <v>5.0000000000000044E-2</v>
      </c>
      <c r="AD38" s="30">
        <f t="shared" si="86"/>
        <v>5.0000000000000044E-2</v>
      </c>
      <c r="AE38" s="30">
        <f t="shared" si="86"/>
        <v>5.0000000000000044E-2</v>
      </c>
      <c r="AF38" s="30">
        <f t="shared" si="86"/>
        <v>5.0000000000000044E-2</v>
      </c>
      <c r="AG38" s="30">
        <f t="shared" si="86"/>
        <v>5.0000000000000044E-2</v>
      </c>
      <c r="AH38" s="30">
        <f t="shared" si="86"/>
        <v>5.0000000000000044E-2</v>
      </c>
      <c r="AI38" s="30">
        <f t="shared" si="86"/>
        <v>0</v>
      </c>
      <c r="AJ38" s="30">
        <f t="shared" si="86"/>
        <v>0</v>
      </c>
      <c r="AK38" s="30">
        <f t="shared" si="86"/>
        <v>0</v>
      </c>
      <c r="AL38" s="30">
        <f t="shared" si="86"/>
        <v>0</v>
      </c>
      <c r="AM38" s="30">
        <f t="shared" si="86"/>
        <v>0</v>
      </c>
      <c r="AN38" s="30">
        <f t="shared" si="86"/>
        <v>0</v>
      </c>
      <c r="AO38" s="30">
        <f t="shared" si="86"/>
        <v>0</v>
      </c>
      <c r="AP38" s="30">
        <f t="shared" si="86"/>
        <v>0</v>
      </c>
      <c r="AQ38" s="30">
        <f t="shared" si="86"/>
        <v>0</v>
      </c>
      <c r="AR38" s="30">
        <f t="shared" si="86"/>
        <v>0</v>
      </c>
      <c r="AS38" s="30">
        <f t="shared" si="86"/>
        <v>0</v>
      </c>
      <c r="AT38" s="30">
        <f t="shared" si="86"/>
        <v>0</v>
      </c>
      <c r="AU38" s="30">
        <f t="shared" si="86"/>
        <v>0</v>
      </c>
      <c r="AV38" s="30">
        <f t="shared" si="86"/>
        <v>0</v>
      </c>
      <c r="AW38" s="30">
        <f t="shared" si="86"/>
        <v>-5.0000000000000044E-2</v>
      </c>
    </row>
    <row r="39" spans="2:49" ht="14.25" customHeight="1" x14ac:dyDescent="0.3"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2:49" ht="14.25" customHeight="1" x14ac:dyDescent="0.3">
      <c r="B40" s="1" t="s">
        <v>84</v>
      </c>
      <c r="C40" s="4"/>
      <c r="D40" s="4"/>
      <c r="E40" s="4"/>
      <c r="F40" s="4"/>
      <c r="G40" s="30">
        <f t="shared" ref="G40:L40" si="87">G3/C3-1</f>
        <v>0.30107746306423966</v>
      </c>
      <c r="H40" s="30">
        <f t="shared" si="87"/>
        <v>0.68136404146535945</v>
      </c>
      <c r="I40" s="30">
        <f t="shared" si="87"/>
        <v>0.43997266307236682</v>
      </c>
      <c r="J40" s="30">
        <f t="shared" si="87"/>
        <v>0.35727047613077145</v>
      </c>
      <c r="K40" s="30">
        <f t="shared" si="87"/>
        <v>0.24276169265033398</v>
      </c>
      <c r="L40" s="30">
        <f t="shared" si="87"/>
        <v>0.13513739712651684</v>
      </c>
      <c r="M40" s="31">
        <v>0.12</v>
      </c>
      <c r="N40" s="30">
        <f>M40</f>
        <v>0.12</v>
      </c>
      <c r="T40" s="30">
        <f t="shared" ref="T40:U40" si="88">T3/S3-1</f>
        <v>0.43136783840402826</v>
      </c>
      <c r="U40" s="30">
        <f t="shared" si="88"/>
        <v>0.14991668401017777</v>
      </c>
      <c r="V40" s="31">
        <v>0.15</v>
      </c>
      <c r="W40" s="30">
        <v>0.2</v>
      </c>
      <c r="X40" s="30">
        <v>0.15</v>
      </c>
      <c r="Y40" s="30">
        <v>0.15</v>
      </c>
      <c r="Z40" s="30">
        <v>0.15</v>
      </c>
    </row>
    <row r="41" spans="2:49" ht="14.25" customHeight="1" x14ac:dyDescent="0.3">
      <c r="B41" s="1" t="s">
        <v>85</v>
      </c>
      <c r="C41" s="4"/>
      <c r="D41" s="4"/>
      <c r="E41" s="4"/>
      <c r="F41" s="4"/>
      <c r="G41" s="30">
        <f t="shared" ref="G41:L41" si="89">G4/C4-1</f>
        <v>0.48712233779098568</v>
      </c>
      <c r="H41" s="30">
        <f t="shared" si="89"/>
        <v>0.83683105981112282</v>
      </c>
      <c r="I41" s="30">
        <f t="shared" si="89"/>
        <v>0.4304149295215407</v>
      </c>
      <c r="J41" s="30">
        <f t="shared" si="89"/>
        <v>0.25388525780682647</v>
      </c>
      <c r="K41" s="30">
        <f t="shared" si="89"/>
        <v>0.143880099916736</v>
      </c>
      <c r="L41" s="30">
        <f t="shared" si="89"/>
        <v>4.8271922307911996E-2</v>
      </c>
      <c r="M41" s="31">
        <v>0.09</v>
      </c>
      <c r="N41" s="30">
        <v>0.1</v>
      </c>
      <c r="T41" s="30">
        <f t="shared" ref="T41:U41" si="90">T4/S4-1</f>
        <v>0.45888124620675708</v>
      </c>
      <c r="U41" s="30">
        <f t="shared" si="90"/>
        <v>9.4080429883862005E-2</v>
      </c>
      <c r="V41" s="30">
        <v>0.05</v>
      </c>
      <c r="W41" s="30">
        <v>0.05</v>
      </c>
      <c r="X41" s="30">
        <v>0.05</v>
      </c>
      <c r="Y41" s="30">
        <v>0.05</v>
      </c>
      <c r="Z41" s="30">
        <v>0.05</v>
      </c>
    </row>
    <row r="42" spans="2:49" ht="14.25" customHeight="1" x14ac:dyDescent="0.3">
      <c r="B42" s="1" t="s">
        <v>86</v>
      </c>
      <c r="C42" s="4"/>
      <c r="D42" s="4"/>
      <c r="E42" s="4"/>
      <c r="F42" s="4"/>
      <c r="G42" s="30">
        <f t="shared" ref="G42:L42" si="91">G5/C5-1</f>
        <v>0.30193375454719518</v>
      </c>
      <c r="H42" s="30">
        <f t="shared" si="91"/>
        <v>0.60409628378378377</v>
      </c>
      <c r="I42" s="30">
        <f t="shared" si="91"/>
        <v>0.3984265734265735</v>
      </c>
      <c r="J42" s="30">
        <f t="shared" si="91"/>
        <v>0.25556605046552416</v>
      </c>
      <c r="K42" s="30">
        <f t="shared" si="91"/>
        <v>0.20205882352941185</v>
      </c>
      <c r="L42" s="30">
        <f t="shared" si="91"/>
        <v>8.7139660392260065E-2</v>
      </c>
      <c r="M42" s="31">
        <v>0.09</v>
      </c>
      <c r="N42" s="31">
        <v>0.1</v>
      </c>
      <c r="T42" s="30">
        <f t="shared" ref="T42:U42" si="92">T5/S5-1</f>
        <v>0.37293200519705505</v>
      </c>
      <c r="U42" s="30">
        <f t="shared" si="92"/>
        <v>0.1162868679221476</v>
      </c>
      <c r="V42" s="30">
        <v>0.15</v>
      </c>
      <c r="W42" s="30">
        <v>0.15</v>
      </c>
      <c r="X42" s="30">
        <v>0.15</v>
      </c>
      <c r="Y42" s="30">
        <v>0.1</v>
      </c>
      <c r="Z42" s="30">
        <v>0.1</v>
      </c>
    </row>
    <row r="43" spans="2:49" ht="14.25" customHeight="1" x14ac:dyDescent="0.3">
      <c r="B43" s="1" t="s">
        <v>87</v>
      </c>
      <c r="C43" s="4"/>
      <c r="D43" s="4"/>
      <c r="E43" s="4"/>
      <c r="F43" s="4"/>
      <c r="G43" s="30">
        <f t="shared" ref="G43:L43" si="93">G6/C6-1</f>
        <v>0.46426155580608786</v>
      </c>
      <c r="H43" s="30">
        <f t="shared" si="93"/>
        <v>0.29254488680718183</v>
      </c>
      <c r="I43" s="30">
        <f t="shared" si="93"/>
        <v>0.23293172690763053</v>
      </c>
      <c r="J43" s="30">
        <f t="shared" si="93"/>
        <v>0.22280491459394658</v>
      </c>
      <c r="K43" s="30">
        <f t="shared" si="93"/>
        <v>4.8814290113951442E-2</v>
      </c>
      <c r="L43" s="30">
        <f t="shared" si="93"/>
        <v>-1.0569228446323464E-2</v>
      </c>
      <c r="M43" s="31">
        <v>0</v>
      </c>
      <c r="N43" s="31">
        <v>0</v>
      </c>
      <c r="T43" s="30">
        <f t="shared" ref="T43:U43" si="94">T6/S6-1</f>
        <v>0.29114273870388274</v>
      </c>
      <c r="U43" s="30">
        <f t="shared" si="94"/>
        <v>8.8113584474884821E-3</v>
      </c>
      <c r="V43" s="30">
        <f t="shared" ref="V43:Z43" si="95">10%</f>
        <v>0.1</v>
      </c>
      <c r="W43" s="30">
        <f t="shared" si="95"/>
        <v>0.1</v>
      </c>
      <c r="X43" s="30">
        <f t="shared" si="95"/>
        <v>0.1</v>
      </c>
      <c r="Y43" s="30">
        <f t="shared" si="95"/>
        <v>0.1</v>
      </c>
      <c r="Z43" s="30">
        <f t="shared" si="95"/>
        <v>0.1</v>
      </c>
    </row>
    <row r="44" spans="2:49" ht="14.25" customHeight="1" x14ac:dyDescent="0.3">
      <c r="B44" s="1" t="s">
        <v>88</v>
      </c>
      <c r="C44" s="4"/>
      <c r="D44" s="4"/>
      <c r="E44" s="4"/>
      <c r="F44" s="4"/>
      <c r="G44" s="30">
        <f t="shared" ref="G44:L44" si="96">G7/C7-1</f>
        <v>0.4573280518545193</v>
      </c>
      <c r="H44" s="30">
        <f t="shared" si="96"/>
        <v>0.53907549052211512</v>
      </c>
      <c r="I44" s="30">
        <f t="shared" si="96"/>
        <v>0.44889663182346107</v>
      </c>
      <c r="J44" s="30">
        <f t="shared" si="96"/>
        <v>0.44635865309318712</v>
      </c>
      <c r="K44" s="30">
        <f t="shared" si="96"/>
        <v>0.4383493946132937</v>
      </c>
      <c r="L44" s="30">
        <f t="shared" si="96"/>
        <v>0.35609334485738975</v>
      </c>
      <c r="M44" s="31">
        <v>0.35</v>
      </c>
      <c r="N44" s="31">
        <v>0.35</v>
      </c>
      <c r="T44" s="30">
        <f t="shared" ref="T44:U44" si="97">T7/S7-1</f>
        <v>0.47070985527222597</v>
      </c>
      <c r="U44" s="30">
        <f t="shared" si="97"/>
        <v>0.37008486931167339</v>
      </c>
      <c r="V44" s="30">
        <v>0.4</v>
      </c>
      <c r="W44" s="30">
        <v>0.35</v>
      </c>
      <c r="X44" s="30">
        <v>0.3</v>
      </c>
      <c r="Y44" s="30">
        <v>0.3</v>
      </c>
      <c r="Z44" s="30">
        <v>0.25</v>
      </c>
    </row>
    <row r="45" spans="2:49" ht="14.25" customHeight="1" x14ac:dyDescent="0.3">
      <c r="B45" s="1" t="s">
        <v>89</v>
      </c>
      <c r="C45" s="4"/>
      <c r="D45" s="4"/>
      <c r="E45" s="4"/>
      <c r="F45" s="4"/>
      <c r="G45" s="30">
        <f t="shared" ref="G45:L45" si="98">G8/C8-1</f>
        <v>0.46666666666666656</v>
      </c>
      <c r="H45" s="30">
        <f t="shared" si="98"/>
        <v>0.29729729729729737</v>
      </c>
      <c r="I45" s="30">
        <f t="shared" si="98"/>
        <v>2.2471910112359605E-2</v>
      </c>
      <c r="J45" s="30">
        <f t="shared" si="98"/>
        <v>-7.6530612244897989E-2</v>
      </c>
      <c r="K45" s="30">
        <f t="shared" si="98"/>
        <v>1.2222222222222223</v>
      </c>
      <c r="L45" s="30">
        <f t="shared" si="98"/>
        <v>5.2083333333332593E-3</v>
      </c>
      <c r="M45" s="31">
        <v>0.1</v>
      </c>
      <c r="N45" s="31">
        <v>0.1</v>
      </c>
      <c r="T45" s="30">
        <f t="shared" ref="T45:U45" si="99">T8/S8-1</f>
        <v>0.14611872146118721</v>
      </c>
      <c r="U45" s="30">
        <f t="shared" si="99"/>
        <v>0.43270916334661336</v>
      </c>
      <c r="V45" s="30">
        <v>0.4</v>
      </c>
      <c r="W45" s="30">
        <v>0.4</v>
      </c>
      <c r="X45" s="30">
        <v>0.4</v>
      </c>
      <c r="Y45" s="30">
        <v>0.4</v>
      </c>
      <c r="Z45" s="30">
        <v>0.4</v>
      </c>
    </row>
    <row r="46" spans="2:49" ht="14.25" customHeight="1" x14ac:dyDescent="0.3"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49" ht="14.25" customHeight="1" x14ac:dyDescent="0.3">
      <c r="B47" s="19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49" ht="14.25" customHeight="1" x14ac:dyDescent="0.3"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3:12" ht="14.25" customHeight="1" x14ac:dyDescent="0.3">
      <c r="C49" s="4"/>
      <c r="D49" s="4"/>
      <c r="E49" s="4"/>
      <c r="F49" s="4"/>
      <c r="G49" s="4"/>
      <c r="H49" s="4"/>
      <c r="I49" s="4"/>
      <c r="J49" s="4"/>
      <c r="K49" s="4"/>
      <c r="L49" s="26"/>
    </row>
    <row r="50" spans="3:12" ht="14.25" customHeight="1" x14ac:dyDescent="0.3"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3:12" ht="14.25" customHeight="1" x14ac:dyDescent="0.3"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3:12" ht="14.25" customHeight="1" x14ac:dyDescent="0.3"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3:12" ht="14.25" customHeight="1" x14ac:dyDescent="0.3"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3:12" ht="14.25" customHeight="1" x14ac:dyDescent="0.3"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3:12" ht="14.25" customHeight="1" x14ac:dyDescent="0.3"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3:12" ht="14.25" customHeight="1" x14ac:dyDescent="0.3"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3:12" ht="14.25" customHeight="1" x14ac:dyDescent="0.3"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3:12" ht="14.25" customHeight="1" x14ac:dyDescent="0.3"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3:12" ht="14.25" customHeight="1" x14ac:dyDescent="0.3"/>
    <row r="60" spans="3:12" ht="14.25" customHeight="1" x14ac:dyDescent="0.3"/>
    <row r="61" spans="3:12" ht="14.25" customHeight="1" x14ac:dyDescent="0.3"/>
    <row r="62" spans="3:12" ht="14.25" customHeight="1" x14ac:dyDescent="0.3"/>
    <row r="63" spans="3:12" ht="14.25" customHeight="1" x14ac:dyDescent="0.3"/>
    <row r="64" spans="3:1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24"/>
  <sheetViews>
    <sheetView workbookViewId="0">
      <selection activeCell="E20" sqref="E20:F20"/>
    </sheetView>
  </sheetViews>
  <sheetFormatPr defaultColWidth="14.44140625" defaultRowHeight="15" customHeight="1" x14ac:dyDescent="0.3"/>
  <cols>
    <col min="1" max="1" width="27.33203125" customWidth="1"/>
    <col min="3" max="3" width="16.5546875" customWidth="1"/>
  </cols>
  <sheetData>
    <row r="2" spans="1:4" ht="15" customHeight="1" x14ac:dyDescent="0.35">
      <c r="A2" s="32" t="s">
        <v>90</v>
      </c>
      <c r="B2" s="33"/>
      <c r="C2" s="32" t="s">
        <v>91</v>
      </c>
    </row>
    <row r="3" spans="1:4" x14ac:dyDescent="0.3">
      <c r="A3" s="3" t="s">
        <v>10</v>
      </c>
      <c r="B3" s="34">
        <v>124997</v>
      </c>
      <c r="C3" s="3" t="s">
        <v>92</v>
      </c>
      <c r="D3" s="13">
        <v>61354</v>
      </c>
    </row>
    <row r="4" spans="1:4" x14ac:dyDescent="0.3">
      <c r="A4" s="3" t="s">
        <v>93</v>
      </c>
      <c r="B4" s="34">
        <v>35707</v>
      </c>
      <c r="C4" s="3" t="s">
        <v>94</v>
      </c>
      <c r="D4" s="13">
        <v>14734</v>
      </c>
    </row>
    <row r="5" spans="1:4" x14ac:dyDescent="0.3">
      <c r="A5" s="3" t="s">
        <v>95</v>
      </c>
      <c r="B5" s="34">
        <v>1366</v>
      </c>
      <c r="C5" s="3" t="s">
        <v>96</v>
      </c>
      <c r="D5" s="15">
        <f>472+8163+924+11697+2422</f>
        <v>23678</v>
      </c>
    </row>
    <row r="6" spans="1:4" x14ac:dyDescent="0.3">
      <c r="A6" s="3" t="s">
        <v>97</v>
      </c>
      <c r="B6" s="34">
        <v>1980</v>
      </c>
      <c r="C6" s="35" t="s">
        <v>98</v>
      </c>
      <c r="D6" s="36">
        <f>SUM(D3:D5)</f>
        <v>99766</v>
      </c>
    </row>
    <row r="7" spans="1:4" ht="15" customHeight="1" x14ac:dyDescent="0.35">
      <c r="A7" s="3" t="s">
        <v>99</v>
      </c>
      <c r="B7" s="34">
        <v>8321</v>
      </c>
      <c r="C7" s="32" t="s">
        <v>100</v>
      </c>
      <c r="D7" s="15"/>
    </row>
    <row r="8" spans="1:4" x14ac:dyDescent="0.3">
      <c r="A8" s="37" t="s">
        <v>101</v>
      </c>
      <c r="B8" s="38">
        <f>SUM(B3:B7)</f>
        <v>172371</v>
      </c>
      <c r="C8" s="3" t="s">
        <v>102</v>
      </c>
      <c r="D8" s="13">
        <v>64402</v>
      </c>
    </row>
    <row r="9" spans="1:4" x14ac:dyDescent="0.3">
      <c r="A9" s="3" t="s">
        <v>103</v>
      </c>
      <c r="B9" s="34">
        <v>30665</v>
      </c>
      <c r="C9" s="3" t="s">
        <v>104</v>
      </c>
      <c r="D9" s="15">
        <f>196845-5828</f>
        <v>191017</v>
      </c>
    </row>
    <row r="10" spans="1:4" x14ac:dyDescent="0.3">
      <c r="A10" s="3" t="s">
        <v>105</v>
      </c>
      <c r="B10" s="34">
        <v>1490</v>
      </c>
      <c r="C10" s="35" t="s">
        <v>106</v>
      </c>
      <c r="D10" s="36">
        <f>SUM(D8:D9)</f>
        <v>255419</v>
      </c>
    </row>
    <row r="11" spans="1:4" x14ac:dyDescent="0.3">
      <c r="A11" s="3" t="s">
        <v>107</v>
      </c>
      <c r="B11" s="34">
        <v>106223</v>
      </c>
      <c r="D11" s="15"/>
    </row>
    <row r="12" spans="1:4" x14ac:dyDescent="0.3">
      <c r="A12" s="3" t="s">
        <v>108</v>
      </c>
      <c r="B12" s="34">
        <v>13398</v>
      </c>
      <c r="C12" s="39" t="s">
        <v>109</v>
      </c>
      <c r="D12" s="40">
        <f>D10+D6</f>
        <v>355185</v>
      </c>
    </row>
    <row r="13" spans="1:4" x14ac:dyDescent="0.3">
      <c r="A13" s="3" t="s">
        <v>110</v>
      </c>
      <c r="B13" s="34">
        <v>1377</v>
      </c>
    </row>
    <row r="14" spans="1:4" x14ac:dyDescent="0.3">
      <c r="A14" s="3" t="s">
        <v>111</v>
      </c>
      <c r="B14" s="34">
        <v>23949</v>
      </c>
    </row>
    <row r="15" spans="1:4" x14ac:dyDescent="0.3">
      <c r="A15" s="3" t="s">
        <v>96</v>
      </c>
      <c r="B15" s="34">
        <v>5712</v>
      </c>
    </row>
    <row r="16" spans="1:4" x14ac:dyDescent="0.3">
      <c r="A16" s="37" t="s">
        <v>112</v>
      </c>
      <c r="B16" s="41">
        <f>SUM(B8:B15)</f>
        <v>355185</v>
      </c>
    </row>
    <row r="19" spans="1:6" x14ac:dyDescent="0.3">
      <c r="A19" s="3" t="s">
        <v>113</v>
      </c>
      <c r="B19" s="15">
        <f>B8-D6</f>
        <v>72605</v>
      </c>
    </row>
    <row r="20" spans="1:6" x14ac:dyDescent="0.3">
      <c r="A20" s="39" t="s">
        <v>114</v>
      </c>
      <c r="B20" s="42">
        <f>D6/D10</f>
        <v>0.39059741052936547</v>
      </c>
      <c r="C20" s="43" t="s">
        <v>115</v>
      </c>
      <c r="D20" s="44">
        <f>D6/D12</f>
        <v>0.28088460942888915</v>
      </c>
      <c r="E20" s="43" t="s">
        <v>116</v>
      </c>
      <c r="F20" s="45"/>
    </row>
    <row r="23" spans="1:6" x14ac:dyDescent="0.3">
      <c r="B23" s="27"/>
    </row>
    <row r="24" spans="1:6" x14ac:dyDescent="0.3">
      <c r="B24" s="4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Main</vt:lpstr>
      <vt:lpstr>DCF</vt:lpstr>
      <vt:lpstr>Stato patrimoniale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</dc:creator>
  <cp:lastModifiedBy>Gale</cp:lastModifiedBy>
  <dcterms:created xsi:type="dcterms:W3CDTF">2022-05-17T16:23:17Z</dcterms:created>
  <dcterms:modified xsi:type="dcterms:W3CDTF">2022-08-05T17:14:08Z</dcterms:modified>
</cp:coreProperties>
</file>