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le\Desktop\Excel\"/>
    </mc:Choice>
  </mc:AlternateContent>
  <xr:revisionPtr revIDLastSave="0" documentId="13_ncr:1_{48F18588-9A4A-4389-A1DF-F1A3901C6B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1" r:id="rId1"/>
    <sheet name="Conto Economico" sheetId="2" r:id="rId2"/>
    <sheet name="Stato patrimoni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3" l="1"/>
  <c r="B21" i="3" s="1"/>
  <c r="B18" i="3"/>
  <c r="E8" i="3"/>
  <c r="C5" i="3"/>
  <c r="C4" i="3"/>
  <c r="C13" i="3" s="1"/>
  <c r="AA28" i="2"/>
  <c r="AA29" i="2" s="1"/>
  <c r="G18" i="2"/>
  <c r="F18" i="2"/>
  <c r="E15" i="2"/>
  <c r="D15" i="2"/>
  <c r="S13" i="2"/>
  <c r="R13" i="2"/>
  <c r="G13" i="2"/>
  <c r="S10" i="2"/>
  <c r="R10" i="2"/>
  <c r="J9" i="2"/>
  <c r="J11" i="2" s="1"/>
  <c r="B9" i="2"/>
  <c r="B11" i="2" s="1"/>
  <c r="S8" i="2"/>
  <c r="R8" i="2"/>
  <c r="Q7" i="2"/>
  <c r="Q9" i="2" s="1"/>
  <c r="Q11" i="2" s="1"/>
  <c r="L7" i="2"/>
  <c r="K7" i="2"/>
  <c r="K15" i="2" s="1"/>
  <c r="J7" i="2"/>
  <c r="J15" i="2" s="1"/>
  <c r="I7" i="2"/>
  <c r="I9" i="2" s="1"/>
  <c r="I11" i="2" s="1"/>
  <c r="F7" i="2"/>
  <c r="F15" i="2" s="1"/>
  <c r="E7" i="2"/>
  <c r="E9" i="2" s="1"/>
  <c r="E11" i="2" s="1"/>
  <c r="D7" i="2"/>
  <c r="D9" i="2" s="1"/>
  <c r="D11" i="2" s="1"/>
  <c r="C7" i="2"/>
  <c r="C15" i="2" s="1"/>
  <c r="B7" i="2"/>
  <c r="B15" i="2" s="1"/>
  <c r="S6" i="2"/>
  <c r="R6" i="2"/>
  <c r="S5" i="2"/>
  <c r="S7" i="2" s="1"/>
  <c r="S9" i="2" s="1"/>
  <c r="S11" i="2" s="1"/>
  <c r="R5" i="2"/>
  <c r="R7" i="2" s="1"/>
  <c r="R9" i="2" s="1"/>
  <c r="R11" i="2" s="1"/>
  <c r="K5" i="2"/>
  <c r="K18" i="2" s="1"/>
  <c r="J5" i="2"/>
  <c r="J18" i="2" s="1"/>
  <c r="I5" i="2"/>
  <c r="I18" i="2" s="1"/>
  <c r="H5" i="2"/>
  <c r="H18" i="2" s="1"/>
  <c r="G5" i="2"/>
  <c r="G7" i="2" s="1"/>
  <c r="G13" i="1"/>
  <c r="G12" i="1"/>
  <c r="E7" i="1"/>
  <c r="E6" i="1"/>
  <c r="E8" i="1" s="1"/>
  <c r="AA26" i="2" s="1"/>
  <c r="AA27" i="2" s="1"/>
  <c r="E5" i="1"/>
  <c r="E9" i="1" s="1"/>
  <c r="H4" i="1"/>
  <c r="H5" i="1" s="1"/>
  <c r="L13" i="2" s="1"/>
  <c r="S16" i="2" l="1"/>
  <c r="S12" i="2"/>
  <c r="I16" i="2"/>
  <c r="I12" i="2"/>
  <c r="J12" i="2"/>
  <c r="J16" i="2"/>
  <c r="M13" i="2"/>
  <c r="L11" i="2"/>
  <c r="L16" i="2" s="1"/>
  <c r="Q13" i="2"/>
  <c r="Q16" i="2"/>
  <c r="D16" i="2"/>
  <c r="D12" i="2"/>
  <c r="B26" i="3"/>
  <c r="G9" i="2"/>
  <c r="G11" i="2" s="1"/>
  <c r="G15" i="2"/>
  <c r="E12" i="2"/>
  <c r="E16" i="2"/>
  <c r="R12" i="2"/>
  <c r="R19" i="2" s="1"/>
  <c r="R16" i="2"/>
  <c r="B12" i="2"/>
  <c r="B16" i="2"/>
  <c r="E13" i="3"/>
  <c r="C9" i="2"/>
  <c r="C11" i="2" s="1"/>
  <c r="K9" i="2"/>
  <c r="K11" i="2" s="1"/>
  <c r="M5" i="2"/>
  <c r="F9" i="2"/>
  <c r="F11" i="2" s="1"/>
  <c r="H7" i="2"/>
  <c r="I15" i="2"/>
  <c r="C3" i="3"/>
  <c r="B16" i="3" s="1"/>
  <c r="C16" i="2" l="1"/>
  <c r="C12" i="2"/>
  <c r="G16" i="2"/>
  <c r="G12" i="2"/>
  <c r="H9" i="2"/>
  <c r="H11" i="2" s="1"/>
  <c r="H15" i="2"/>
  <c r="I19" i="2"/>
  <c r="F16" i="2"/>
  <c r="F12" i="2"/>
  <c r="F19" i="2" s="1"/>
  <c r="M11" i="2"/>
  <c r="M7" i="2"/>
  <c r="T5" i="2"/>
  <c r="U5" i="2" s="1"/>
  <c r="S19" i="2"/>
  <c r="J19" i="2"/>
  <c r="K16" i="2"/>
  <c r="K12" i="2"/>
  <c r="K19" i="2" s="1"/>
  <c r="H12" i="2" l="1"/>
  <c r="H19" i="2" s="1"/>
  <c r="B22" i="3"/>
  <c r="H16" i="2"/>
  <c r="U11" i="2"/>
  <c r="V5" i="2"/>
  <c r="G19" i="2"/>
  <c r="M12" i="2"/>
  <c r="T12" i="2" s="1"/>
  <c r="T19" i="2" s="1"/>
  <c r="T11" i="2"/>
  <c r="T16" i="2" l="1"/>
  <c r="T13" i="2"/>
  <c r="W5" i="2"/>
  <c r="V11" i="2"/>
  <c r="W11" i="2" l="1"/>
  <c r="X5" i="2"/>
  <c r="U13" i="2"/>
  <c r="T21" i="2"/>
  <c r="V13" i="2" l="1"/>
  <c r="U21" i="2"/>
  <c r="U12" i="2"/>
  <c r="X11" i="2"/>
  <c r="Y5" i="2"/>
  <c r="Y11" i="2" s="1"/>
  <c r="V21" i="2" l="1"/>
  <c r="W13" i="2"/>
  <c r="V12" i="2"/>
  <c r="V19" i="2" s="1"/>
  <c r="U19" i="2"/>
  <c r="W21" i="2" l="1"/>
  <c r="X13" i="2"/>
  <c r="W12" i="2"/>
  <c r="W19" i="2" l="1"/>
  <c r="Y13" i="2"/>
  <c r="Y12" i="2" s="1"/>
  <c r="X12" i="2"/>
  <c r="X19" i="2" s="1"/>
  <c r="Y19" i="2" l="1"/>
  <c r="Z12" i="2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AA25" i="2" l="1" a="1"/>
  <c r="AA25" i="2" s="1"/>
  <c r="AA3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5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Guidance
</t>
        </r>
      </text>
    </comment>
  </commentList>
</comments>
</file>

<file path=xl/sharedStrings.xml><?xml version="1.0" encoding="utf-8"?>
<sst xmlns="http://schemas.openxmlformats.org/spreadsheetml/2006/main" count="90" uniqueCount="82">
  <si>
    <t>Paypal</t>
  </si>
  <si>
    <t>Price</t>
  </si>
  <si>
    <t>Buyback FY 2022</t>
  </si>
  <si>
    <t>SO</t>
  </si>
  <si>
    <t>SO comprati</t>
  </si>
  <si>
    <t>MC</t>
  </si>
  <si>
    <t>Prossimi due trimestri</t>
  </si>
  <si>
    <t>Cash</t>
  </si>
  <si>
    <t>Debt</t>
  </si>
  <si>
    <t>Buy back restanti</t>
  </si>
  <si>
    <t>11B</t>
  </si>
  <si>
    <t>Net Cash</t>
  </si>
  <si>
    <t>3 anni?</t>
  </si>
  <si>
    <t>EV</t>
  </si>
  <si>
    <t>12 trim * 300 stock base comp</t>
  </si>
  <si>
    <t>3,6 B</t>
  </si>
  <si>
    <t>7,4 B di buybacks</t>
  </si>
  <si>
    <t>M di stocks ritirati in 3 anni</t>
  </si>
  <si>
    <t>All'anno</t>
  </si>
  <si>
    <t>Revenues</t>
  </si>
  <si>
    <t>le loro revenues si possono classificare in due modi:</t>
  </si>
  <si>
    <t>Transaction Revenues:</t>
  </si>
  <si>
    <t>tutte le revenues derivanti dalle transazioni sulla loro piattaforma, il numero è ovviamnete legato al TPV o Total Payment Volume.</t>
  </si>
  <si>
    <t xml:space="preserve">Revenues from other added services: </t>
  </si>
  <si>
    <t>tutte quelle revenue derivanti dai servizi dati ai marcanti e consumatori ('partnerships, referral fees, subscription fees, gateway fees, and other services') comprende anche tutti quei ricavi provenienti dagli interessi sui loro loans receivable e costumer balance</t>
  </si>
  <si>
    <t>Buyback di 15 B di cui 4B in tutto il FY 2022 e di cui 2,25b già effettuato, stock base comp di circa 300 mln trimestre quindi manca 1,15 B di buy back per quest'anno.</t>
  </si>
  <si>
    <t>Dicono di aver trovato il modo per essere più efficienti e avere una espansione dei margini durante il 2023</t>
  </si>
  <si>
    <t>0,61 EPS Q3 2022</t>
  </si>
  <si>
    <t>1,52-1,62 EPS FY 2022</t>
  </si>
  <si>
    <t>Paypal sta diventando un titolo value? La crescita sembra essersi arrestata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</si>
  <si>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</si>
  <si>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</si>
  <si>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</si>
  <si>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</si>
  <si>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</si>
  <si>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</si>
  <si>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</si>
  <si>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</si>
  <si>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</si>
  <si>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</si>
  <si>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</si>
  <si>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</si>
  <si>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Transaction Revenues</t>
  </si>
  <si>
    <t>Revenues from other services</t>
  </si>
  <si>
    <t>Operating expenses</t>
  </si>
  <si>
    <t>Operating Income</t>
  </si>
  <si>
    <t>Other income</t>
  </si>
  <si>
    <t>Income Before taxes</t>
  </si>
  <si>
    <t>Tax</t>
  </si>
  <si>
    <t>Net income</t>
  </si>
  <si>
    <t>EPS</t>
  </si>
  <si>
    <t>Operating Margin %</t>
  </si>
  <si>
    <t>Net Margin %</t>
  </si>
  <si>
    <t>Revenue Growth Y/Y</t>
  </si>
  <si>
    <t>EPS Growth Y/Y</t>
  </si>
  <si>
    <t>Share Dim %</t>
  </si>
  <si>
    <t>Discount Rate</t>
  </si>
  <si>
    <t>NPV</t>
  </si>
  <si>
    <t>Net Cash per share</t>
  </si>
  <si>
    <t>Prezzo corrente</t>
  </si>
  <si>
    <t>Prezzo reale</t>
  </si>
  <si>
    <t>Sopravalutato/Sottovalutato</t>
  </si>
  <si>
    <t>Current Assets</t>
  </si>
  <si>
    <t>Current liab</t>
  </si>
  <si>
    <t>Other Current</t>
  </si>
  <si>
    <t>Long debt</t>
  </si>
  <si>
    <t>Other</t>
  </si>
  <si>
    <t>Long term investments</t>
  </si>
  <si>
    <t>PP&amp;E</t>
  </si>
  <si>
    <t>Total Debt</t>
  </si>
  <si>
    <t>GoodWill</t>
  </si>
  <si>
    <t>Intangibles</t>
  </si>
  <si>
    <t>Equity</t>
  </si>
  <si>
    <t>Total</t>
  </si>
  <si>
    <t>Net working capital</t>
  </si>
  <si>
    <t>Book Value</t>
  </si>
  <si>
    <t>Tangible BookValue</t>
  </si>
  <si>
    <t>M</t>
  </si>
  <si>
    <t>Tangible BookValue per share</t>
  </si>
  <si>
    <t>ROE</t>
  </si>
  <si>
    <t>Debt/Asset Ratio</t>
  </si>
  <si>
    <t>Alta competizione basti pensare a Google Pay, Apple Pay, Amazon Pay, Wise ecc…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</si>
</sst>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0" fontId="1" fillId="2" borderId="0" xfId="0" applyFont="1" applyFill="1" applyAlignment="1"/>
    <xf numFmtId="3" fontId="1" fillId="2" borderId="0" xfId="0" applyNumberFormat="1" applyFont="1" applyFill="1"/>
    <xf numFmtId="0" fontId="1" fillId="0" borderId="1" xfId="0" applyFont="1" applyBorder="1" applyAlignment="1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 applyAlignment="1"/>
    <xf numFmtId="1" fontId="1" fillId="0" borderId="0" xfId="0" applyNumberFormat="1" applyFont="1" applyAlignment="1"/>
    <xf numFmtId="10" fontId="1" fillId="0" borderId="0" xfId="0" applyNumberFormat="1" applyFont="1"/>
    <xf numFmtId="9" fontId="1" fillId="0" borderId="0" xfId="0" applyNumberFormat="1" applyFont="1" applyAlignment="1"/>
    <xf numFmtId="9" fontId="1" fillId="0" borderId="0" xfId="0" applyNumberFormat="1" applyFont="1"/>
    <xf numFmtId="10" fontId="1" fillId="0" borderId="0" xfId="0" applyNumberFormat="1" applyFont="1" applyAlignment="1"/>
    <xf numFmtId="0" fontId="1" fillId="3" borderId="0" xfId="0" applyFont="1" applyFill="1" applyAlignment="1"/>
    <xf numFmtId="164" fontId="1" fillId="3" borderId="0" xfId="0" applyNumberFormat="1" applyFont="1" applyFill="1"/>
    <xf numFmtId="0" fontId="1" fillId="4" borderId="0" xfId="0" applyFont="1" applyFill="1" applyAlignment="1"/>
    <xf numFmtId="2" fontId="1" fillId="4" borderId="0" xfId="0" applyNumberFormat="1" applyFont="1" applyFill="1"/>
    <xf numFmtId="10" fontId="1" fillId="2" borderId="0" xfId="0" applyNumberFormat="1" applyFont="1" applyFill="1"/>
    <xf numFmtId="0" fontId="1" fillId="5" borderId="0" xfId="0" applyFont="1" applyFill="1" applyAlignment="1"/>
    <xf numFmtId="0" fontId="1" fillId="6" borderId="0" xfId="0" applyFont="1" applyFill="1" applyAlignment="1"/>
    <xf numFmtId="10" fontId="1" fillId="6" borderId="0" xfId="0" applyNumberFormat="1" applyFont="1" applyFill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180975</xdr:rowOff>
    </xdr:from>
    <xdr:ext cx="7400925" cy="4657725"/>
    <xdr:pic>
      <xdr:nvPicPr>
        <xdr:cNvPr id="2" name="image1.png" title="Immagi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topLeftCell="A46" workbookViewId="0">
      <selection activeCell="A53" sqref="A53:H55"/>
    </sheetView>
  </sheetViews>
  <sheetFormatPr defaultColWidth="12.6640625" defaultRowHeight="15.75" customHeight="1" x14ac:dyDescent="0.25"/>
  <cols>
    <col min="7" max="7" width="14.109375" customWidth="1"/>
  </cols>
  <sheetData>
    <row r="1" spans="1:8" x14ac:dyDescent="0.25">
      <c r="A1" s="1" t="s">
        <v>0</v>
      </c>
    </row>
    <row r="3" spans="1:8" x14ac:dyDescent="0.25">
      <c r="D3" s="1" t="s">
        <v>1</v>
      </c>
      <c r="E3" s="1">
        <v>95.32</v>
      </c>
      <c r="G3" s="1" t="s">
        <v>2</v>
      </c>
      <c r="H3" s="1">
        <v>1150</v>
      </c>
    </row>
    <row r="4" spans="1:8" x14ac:dyDescent="0.25">
      <c r="D4" s="1" t="s">
        <v>3</v>
      </c>
      <c r="E4" s="2">
        <v>1158</v>
      </c>
      <c r="G4" s="1" t="s">
        <v>4</v>
      </c>
      <c r="H4" s="3">
        <f>H3/E3</f>
        <v>12.064624422996225</v>
      </c>
    </row>
    <row r="5" spans="1:8" x14ac:dyDescent="0.25">
      <c r="D5" s="1" t="s">
        <v>5</v>
      </c>
      <c r="E5" s="2">
        <f>E3*E4</f>
        <v>110380.56</v>
      </c>
      <c r="G5" s="1" t="s">
        <v>6</v>
      </c>
      <c r="H5" s="4">
        <f>H4/2</f>
        <v>6.0323122114981125</v>
      </c>
    </row>
    <row r="6" spans="1:8" x14ac:dyDescent="0.25">
      <c r="D6" s="1" t="s">
        <v>7</v>
      </c>
      <c r="E6" s="5">
        <f>'Stato patrimoniale'!C4</f>
        <v>9306</v>
      </c>
    </row>
    <row r="7" spans="1:8" x14ac:dyDescent="0.25">
      <c r="D7" s="1" t="s">
        <v>8</v>
      </c>
      <c r="E7" s="5">
        <f>'Stato patrimoniale'!E5</f>
        <v>10198</v>
      </c>
      <c r="G7" s="1" t="s">
        <v>9</v>
      </c>
      <c r="H7" s="1" t="s">
        <v>10</v>
      </c>
    </row>
    <row r="8" spans="1:8" x14ac:dyDescent="0.25">
      <c r="D8" s="1" t="s">
        <v>11</v>
      </c>
      <c r="E8" s="5">
        <f>E6-E7</f>
        <v>-892</v>
      </c>
      <c r="G8" s="1" t="s">
        <v>12</v>
      </c>
    </row>
    <row r="9" spans="1:8" x14ac:dyDescent="0.25">
      <c r="D9" s="6" t="s">
        <v>13</v>
      </c>
      <c r="E9" s="7">
        <f>E5-E8</f>
        <v>111272.56</v>
      </c>
      <c r="G9" s="1" t="s">
        <v>14</v>
      </c>
    </row>
    <row r="10" spans="1:8" x14ac:dyDescent="0.25">
      <c r="G10" s="1" t="s">
        <v>15</v>
      </c>
    </row>
    <row r="11" spans="1:8" x14ac:dyDescent="0.25">
      <c r="G11" s="1" t="s">
        <v>16</v>
      </c>
    </row>
    <row r="12" spans="1:8" x14ac:dyDescent="0.25">
      <c r="A12" s="1"/>
      <c r="G12" s="3">
        <f>7400/E3</f>
        <v>77.633235417540917</v>
      </c>
      <c r="H12" s="1" t="s">
        <v>17</v>
      </c>
    </row>
    <row r="13" spans="1:8" x14ac:dyDescent="0.25">
      <c r="A13" s="1"/>
      <c r="G13" s="3">
        <f>G12/3</f>
        <v>25.877745139180306</v>
      </c>
      <c r="H13" s="1" t="s">
        <v>18</v>
      </c>
    </row>
    <row r="15" spans="1:8" x14ac:dyDescent="0.25">
      <c r="A15" s="1" t="s">
        <v>19</v>
      </c>
    </row>
    <row r="16" spans="1:8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2" spans="1:1" x14ac:dyDescent="0.25">
      <c r="A22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8" spans="1:1" x14ac:dyDescent="0.25">
      <c r="A28" s="1" t="s">
        <v>29</v>
      </c>
    </row>
    <row r="29" spans="1:1" x14ac:dyDescent="0.25">
      <c r="A29" s="1"/>
    </row>
    <row r="54" spans="1:6" ht="15.75" customHeight="1" x14ac:dyDescent="0.3">
      <c r="A54" s="25" t="s">
        <v>81</v>
      </c>
      <c r="B54" s="25"/>
      <c r="C54" s="25"/>
      <c r="D54" s="25"/>
      <c r="E54" s="25"/>
      <c r="F54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V31"/>
  <sheetViews>
    <sheetView tabSelected="1" workbookViewId="0">
      <pane xSplit="1" ySplit="2" topLeftCell="V15" activePane="bottomRight" state="frozen"/>
      <selection pane="topRight" activeCell="B1" sqref="B1"/>
      <selection pane="bottomLeft" activeCell="A3" sqref="A3"/>
      <selection pane="bottomRight" activeCell="AE26" sqref="AE26"/>
    </sheetView>
  </sheetViews>
  <sheetFormatPr defaultColWidth="12.6640625" defaultRowHeight="15.75" customHeight="1" x14ac:dyDescent="0.25"/>
  <cols>
    <col min="1" max="1" width="23.109375" customWidth="1"/>
    <col min="26" max="26" width="21.44140625" customWidth="1"/>
    <col min="27" max="100" width="19.44140625" customWidth="1"/>
  </cols>
  <sheetData>
    <row r="2" spans="1:100" x14ac:dyDescent="0.25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8" t="s">
        <v>39</v>
      </c>
      <c r="L2" s="1" t="s">
        <v>40</v>
      </c>
      <c r="M2" s="1" t="s">
        <v>41</v>
      </c>
      <c r="Q2" s="1">
        <v>2019</v>
      </c>
      <c r="R2" s="1">
        <v>2020</v>
      </c>
      <c r="S2" s="1">
        <v>2021</v>
      </c>
      <c r="T2" s="1">
        <v>2022</v>
      </c>
      <c r="U2" s="1">
        <v>2023</v>
      </c>
      <c r="V2" s="1">
        <v>2024</v>
      </c>
      <c r="W2" s="1">
        <v>2025</v>
      </c>
      <c r="X2" s="1">
        <v>2026</v>
      </c>
      <c r="Y2" s="1">
        <v>2027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5">
      <c r="A3" s="1" t="s">
        <v>42</v>
      </c>
      <c r="G3" s="1">
        <v>5797</v>
      </c>
      <c r="H3" s="1">
        <v>5607</v>
      </c>
      <c r="I3" s="1">
        <v>6377</v>
      </c>
      <c r="J3" s="1">
        <v>5998</v>
      </c>
      <c r="K3" s="8">
        <v>6272</v>
      </c>
    </row>
    <row r="4" spans="1:100" x14ac:dyDescent="0.25">
      <c r="A4" s="1" t="s">
        <v>43</v>
      </c>
      <c r="G4" s="1">
        <v>441</v>
      </c>
      <c r="H4" s="1">
        <v>575</v>
      </c>
      <c r="I4" s="1">
        <v>541</v>
      </c>
      <c r="J4" s="1">
        <v>485</v>
      </c>
      <c r="K4" s="8">
        <v>534</v>
      </c>
    </row>
    <row r="5" spans="1:100" x14ac:dyDescent="0.25">
      <c r="A5" s="1" t="s">
        <v>19</v>
      </c>
      <c r="B5" s="1">
        <v>4618</v>
      </c>
      <c r="C5" s="1">
        <v>5261</v>
      </c>
      <c r="D5" s="1">
        <v>5459</v>
      </c>
      <c r="E5" s="1">
        <v>6116</v>
      </c>
      <c r="F5" s="1">
        <v>6033</v>
      </c>
      <c r="G5" s="9">
        <f t="shared" ref="G5:K5" si="0">SUM(G3:G4)</f>
        <v>6238</v>
      </c>
      <c r="H5" s="9">
        <f t="shared" si="0"/>
        <v>6182</v>
      </c>
      <c r="I5" s="9">
        <f t="shared" si="0"/>
        <v>6918</v>
      </c>
      <c r="J5" s="9">
        <f t="shared" si="0"/>
        <v>6483</v>
      </c>
      <c r="K5" s="10">
        <f t="shared" si="0"/>
        <v>6806</v>
      </c>
      <c r="L5" s="1">
        <v>6800</v>
      </c>
      <c r="M5" s="9">
        <f>I5*1.1</f>
        <v>7609.8</v>
      </c>
      <c r="Q5" s="1">
        <v>17772</v>
      </c>
      <c r="R5" s="9">
        <f t="shared" ref="R5:R6" si="1">SUM(B5:E5)</f>
        <v>21454</v>
      </c>
      <c r="S5" s="9">
        <f t="shared" ref="S5:S6" si="2">SUM(F5:I5)</f>
        <v>25371</v>
      </c>
      <c r="T5" s="9">
        <f>SUM(J5:M5)</f>
        <v>27698.799999999999</v>
      </c>
      <c r="U5" s="9">
        <f t="shared" ref="U5:Y5" si="3">T5*(1+U18)</f>
        <v>30468.68</v>
      </c>
      <c r="V5" s="9">
        <f t="shared" si="3"/>
        <v>33515.548000000003</v>
      </c>
      <c r="W5" s="9">
        <f t="shared" si="3"/>
        <v>36867.102800000008</v>
      </c>
      <c r="X5" s="9">
        <f t="shared" si="3"/>
        <v>40553.813080000014</v>
      </c>
      <c r="Y5" s="9">
        <f t="shared" si="3"/>
        <v>44609.194388000018</v>
      </c>
    </row>
    <row r="6" spans="1:100" x14ac:dyDescent="0.25">
      <c r="A6" s="1" t="s">
        <v>44</v>
      </c>
      <c r="B6" s="1">
        <v>4220</v>
      </c>
      <c r="C6" s="1">
        <v>4310</v>
      </c>
      <c r="D6" s="1">
        <v>4482</v>
      </c>
      <c r="E6" s="1">
        <v>5153</v>
      </c>
      <c r="F6" s="1">
        <v>4991</v>
      </c>
      <c r="G6" s="1">
        <v>5111</v>
      </c>
      <c r="H6" s="1">
        <v>5139</v>
      </c>
      <c r="I6" s="1">
        <v>5868</v>
      </c>
      <c r="J6" s="1">
        <v>5772</v>
      </c>
      <c r="K6" s="8">
        <v>6042</v>
      </c>
      <c r="Q6" s="1">
        <v>15053</v>
      </c>
      <c r="R6" s="9">
        <f t="shared" si="1"/>
        <v>18165</v>
      </c>
      <c r="S6" s="9">
        <f t="shared" si="2"/>
        <v>21109</v>
      </c>
    </row>
    <row r="7" spans="1:100" x14ac:dyDescent="0.25">
      <c r="A7" s="1" t="s">
        <v>45</v>
      </c>
      <c r="B7" s="9">
        <f t="shared" ref="B7:M7" si="4">B5-B6</f>
        <v>398</v>
      </c>
      <c r="C7" s="9">
        <f t="shared" si="4"/>
        <v>951</v>
      </c>
      <c r="D7" s="9">
        <f t="shared" si="4"/>
        <v>977</v>
      </c>
      <c r="E7" s="9">
        <f t="shared" si="4"/>
        <v>963</v>
      </c>
      <c r="F7" s="9">
        <f t="shared" si="4"/>
        <v>1042</v>
      </c>
      <c r="G7" s="9">
        <f t="shared" si="4"/>
        <v>1127</v>
      </c>
      <c r="H7" s="9">
        <f t="shared" si="4"/>
        <v>1043</v>
      </c>
      <c r="I7" s="9">
        <f t="shared" si="4"/>
        <v>1050</v>
      </c>
      <c r="J7" s="9">
        <f t="shared" si="4"/>
        <v>711</v>
      </c>
      <c r="K7" s="10">
        <f t="shared" si="4"/>
        <v>764</v>
      </c>
      <c r="L7" s="9">
        <f t="shared" si="4"/>
        <v>6800</v>
      </c>
      <c r="M7" s="9">
        <f t="shared" si="4"/>
        <v>7609.8</v>
      </c>
      <c r="Q7" s="9">
        <f t="shared" ref="Q7:S7" si="5">Q5-Q6</f>
        <v>2719</v>
      </c>
      <c r="R7" s="9">
        <f t="shared" si="5"/>
        <v>3289</v>
      </c>
      <c r="S7" s="9">
        <f t="shared" si="5"/>
        <v>4262</v>
      </c>
    </row>
    <row r="8" spans="1:100" x14ac:dyDescent="0.25">
      <c r="A8" s="1" t="s">
        <v>46</v>
      </c>
      <c r="B8" s="1">
        <v>-135</v>
      </c>
      <c r="C8" s="1">
        <v>848</v>
      </c>
      <c r="D8" s="1">
        <v>167</v>
      </c>
      <c r="E8" s="1">
        <v>896</v>
      </c>
      <c r="F8" s="1">
        <v>-170</v>
      </c>
      <c r="G8" s="1">
        <v>229</v>
      </c>
      <c r="H8" s="1">
        <v>122</v>
      </c>
      <c r="I8" s="1">
        <v>-344</v>
      </c>
      <c r="J8" s="1">
        <v>-82</v>
      </c>
      <c r="K8" s="8">
        <v>-715</v>
      </c>
      <c r="Q8" s="1">
        <v>279</v>
      </c>
      <c r="R8" s="9">
        <f>SUM(B8:E8)</f>
        <v>1776</v>
      </c>
      <c r="S8" s="9">
        <f>SUM(F8:I8)</f>
        <v>-163</v>
      </c>
    </row>
    <row r="9" spans="1:100" x14ac:dyDescent="0.25">
      <c r="A9" s="1" t="s">
        <v>47</v>
      </c>
      <c r="B9" s="9">
        <f t="shared" ref="B9:K9" si="6">B7+B8</f>
        <v>263</v>
      </c>
      <c r="C9" s="9">
        <f t="shared" si="6"/>
        <v>1799</v>
      </c>
      <c r="D9" s="9">
        <f t="shared" si="6"/>
        <v>1144</v>
      </c>
      <c r="E9" s="9">
        <f t="shared" si="6"/>
        <v>1859</v>
      </c>
      <c r="F9" s="9">
        <f t="shared" si="6"/>
        <v>872</v>
      </c>
      <c r="G9" s="9">
        <f t="shared" si="6"/>
        <v>1356</v>
      </c>
      <c r="H9" s="9">
        <f t="shared" si="6"/>
        <v>1165</v>
      </c>
      <c r="I9" s="9">
        <f t="shared" si="6"/>
        <v>706</v>
      </c>
      <c r="J9" s="9">
        <f t="shared" si="6"/>
        <v>629</v>
      </c>
      <c r="K9" s="10">
        <f t="shared" si="6"/>
        <v>49</v>
      </c>
      <c r="Q9" s="9">
        <f t="shared" ref="Q9:S9" si="7">Q7+Q8</f>
        <v>2998</v>
      </c>
      <c r="R9" s="9">
        <f t="shared" si="7"/>
        <v>5065</v>
      </c>
      <c r="S9" s="9">
        <f t="shared" si="7"/>
        <v>4099</v>
      </c>
    </row>
    <row r="10" spans="1:100" x14ac:dyDescent="0.25">
      <c r="A10" s="1" t="s">
        <v>48</v>
      </c>
      <c r="B10" s="1">
        <v>179</v>
      </c>
      <c r="C10" s="1">
        <v>269</v>
      </c>
      <c r="D10" s="1">
        <v>123</v>
      </c>
      <c r="E10" s="1">
        <v>292</v>
      </c>
      <c r="F10" s="1">
        <v>-225</v>
      </c>
      <c r="G10" s="1">
        <v>172</v>
      </c>
      <c r="H10" s="1">
        <v>78</v>
      </c>
      <c r="I10" s="1">
        <v>-95</v>
      </c>
      <c r="J10" s="1">
        <v>120</v>
      </c>
      <c r="K10" s="8">
        <v>390</v>
      </c>
      <c r="Q10" s="1">
        <v>539</v>
      </c>
      <c r="R10" s="9">
        <f>SUM(B10:E10)</f>
        <v>863</v>
      </c>
      <c r="S10" s="9">
        <f>SUM(F10:I10)</f>
        <v>-70</v>
      </c>
    </row>
    <row r="11" spans="1:100" x14ac:dyDescent="0.25">
      <c r="A11" s="1" t="s">
        <v>49</v>
      </c>
      <c r="B11" s="9">
        <f t="shared" ref="B11:K11" si="8">B9-B10</f>
        <v>84</v>
      </c>
      <c r="C11" s="9">
        <f t="shared" si="8"/>
        <v>1530</v>
      </c>
      <c r="D11" s="9">
        <f t="shared" si="8"/>
        <v>1021</v>
      </c>
      <c r="E11" s="9">
        <f t="shared" si="8"/>
        <v>1567</v>
      </c>
      <c r="F11" s="9">
        <f t="shared" si="8"/>
        <v>1097</v>
      </c>
      <c r="G11" s="9">
        <f t="shared" si="8"/>
        <v>1184</v>
      </c>
      <c r="H11" s="9">
        <f t="shared" si="8"/>
        <v>1087</v>
      </c>
      <c r="I11" s="9">
        <f t="shared" si="8"/>
        <v>801</v>
      </c>
      <c r="J11" s="9">
        <f t="shared" si="8"/>
        <v>509</v>
      </c>
      <c r="K11" s="10">
        <f t="shared" si="8"/>
        <v>-341</v>
      </c>
      <c r="L11" s="3">
        <f>L13*L12</f>
        <v>702.70028955098621</v>
      </c>
      <c r="M11" s="9">
        <f>M5*M16</f>
        <v>760.98</v>
      </c>
      <c r="Q11" s="9">
        <f t="shared" ref="Q11:S11" si="9">Q9-Q10</f>
        <v>2459</v>
      </c>
      <c r="R11" s="9">
        <f t="shared" si="9"/>
        <v>4202</v>
      </c>
      <c r="S11" s="9">
        <f t="shared" si="9"/>
        <v>4169</v>
      </c>
      <c r="T11" s="9">
        <f t="shared" ref="T11:T12" si="10">SUM(J11:M11)</f>
        <v>1631.6802895509863</v>
      </c>
      <c r="U11" s="9">
        <f t="shared" ref="U11:Y11" si="11">U5*U16</f>
        <v>4570.3019999999997</v>
      </c>
      <c r="V11" s="9">
        <f t="shared" si="11"/>
        <v>5027.3321999999998</v>
      </c>
      <c r="W11" s="9">
        <f t="shared" si="11"/>
        <v>5530.0654200000008</v>
      </c>
      <c r="X11" s="9">
        <f t="shared" si="11"/>
        <v>6083.0719620000018</v>
      </c>
      <c r="Y11" s="9">
        <f t="shared" si="11"/>
        <v>6691.3791582000022</v>
      </c>
    </row>
    <row r="12" spans="1:100" x14ac:dyDescent="0.25">
      <c r="A12" s="1" t="s">
        <v>50</v>
      </c>
      <c r="B12" s="4">
        <f t="shared" ref="B12:K12" si="12">B11/B13</f>
        <v>7.0886075949367092E-2</v>
      </c>
      <c r="C12" s="4">
        <f t="shared" si="12"/>
        <v>1.2922297297297298</v>
      </c>
      <c r="D12" s="4">
        <f t="shared" si="12"/>
        <v>0.85798319327731087</v>
      </c>
      <c r="E12" s="4">
        <f t="shared" si="12"/>
        <v>1.3157010915197314</v>
      </c>
      <c r="F12" s="4">
        <f t="shared" si="12"/>
        <v>0.92184873949579826</v>
      </c>
      <c r="G12" s="4">
        <f t="shared" si="12"/>
        <v>0.99831365935919059</v>
      </c>
      <c r="H12" s="4">
        <f t="shared" si="12"/>
        <v>0.91575400168491994</v>
      </c>
      <c r="I12" s="4">
        <f t="shared" si="12"/>
        <v>0.67709213863060014</v>
      </c>
      <c r="J12" s="4">
        <f t="shared" si="12"/>
        <v>0.43430034129692835</v>
      </c>
      <c r="K12" s="11">
        <f t="shared" si="12"/>
        <v>-0.29447322970639034</v>
      </c>
      <c r="L12" s="1">
        <v>0.61</v>
      </c>
      <c r="M12" s="4">
        <f>M11/M13</f>
        <v>0.66406886131500187</v>
      </c>
      <c r="Q12" s="1">
        <v>2.0699999999999998</v>
      </c>
      <c r="R12" s="4">
        <f t="shared" ref="R12:S12" si="13">R11/R13</f>
        <v>3.5385263157894737</v>
      </c>
      <c r="S12" s="4">
        <f t="shared" si="13"/>
        <v>3.5136957437842393</v>
      </c>
      <c r="T12" s="4">
        <f t="shared" si="10"/>
        <v>1.4138959729055398</v>
      </c>
      <c r="U12" s="4">
        <f t="shared" ref="U12:Y12" si="14">U11/U13</f>
        <v>4.0511344805149623</v>
      </c>
      <c r="V12" s="4">
        <f t="shared" si="14"/>
        <v>4.5608657030810731</v>
      </c>
      <c r="W12" s="4">
        <f t="shared" si="14"/>
        <v>5.1375650927482237</v>
      </c>
      <c r="X12" s="4">
        <f t="shared" si="14"/>
        <v>5.7666546959418836</v>
      </c>
      <c r="Y12" s="4">
        <f t="shared" si="14"/>
        <v>6.4727756791184419</v>
      </c>
      <c r="Z12" s="4">
        <f>Y12*(1+Z19)</f>
        <v>6.7964144630743641</v>
      </c>
      <c r="AA12" s="4">
        <f t="shared" ref="AA12:AE12" si="15">Z12*(1+Z19)</f>
        <v>7.1362351862280828</v>
      </c>
      <c r="AB12" s="4">
        <f t="shared" si="15"/>
        <v>7.4930469455394872</v>
      </c>
      <c r="AC12" s="4">
        <f t="shared" si="15"/>
        <v>7.8676992928164617</v>
      </c>
      <c r="AD12" s="4">
        <f t="shared" si="15"/>
        <v>8.261084257457286</v>
      </c>
      <c r="AE12" s="4">
        <f t="shared" si="15"/>
        <v>8.674138470330151</v>
      </c>
      <c r="AF12" s="4">
        <f t="shared" ref="AF12:AO12" si="16">AE12</f>
        <v>8.674138470330151</v>
      </c>
      <c r="AG12" s="4">
        <f t="shared" si="16"/>
        <v>8.674138470330151</v>
      </c>
      <c r="AH12" s="4">
        <f t="shared" si="16"/>
        <v>8.674138470330151</v>
      </c>
      <c r="AI12" s="4">
        <f t="shared" si="16"/>
        <v>8.674138470330151</v>
      </c>
      <c r="AJ12" s="4">
        <f t="shared" si="16"/>
        <v>8.674138470330151</v>
      </c>
      <c r="AK12" s="4">
        <f t="shared" si="16"/>
        <v>8.674138470330151</v>
      </c>
      <c r="AL12" s="4">
        <f t="shared" si="16"/>
        <v>8.674138470330151</v>
      </c>
      <c r="AM12" s="4">
        <f t="shared" si="16"/>
        <v>8.674138470330151</v>
      </c>
      <c r="AN12" s="4">
        <f t="shared" si="16"/>
        <v>8.674138470330151</v>
      </c>
      <c r="AO12" s="4">
        <f t="shared" si="16"/>
        <v>8.674138470330151</v>
      </c>
      <c r="AP12" s="9">
        <f t="shared" ref="AP12:CV12" si="17">AO12*0.95</f>
        <v>8.2404315468136424</v>
      </c>
      <c r="AQ12" s="9">
        <f t="shared" si="17"/>
        <v>7.8284099694729603</v>
      </c>
      <c r="AR12" s="9">
        <f t="shared" si="17"/>
        <v>7.4369894709993121</v>
      </c>
      <c r="AS12" s="9">
        <f t="shared" si="17"/>
        <v>7.0651399974493465</v>
      </c>
      <c r="AT12" s="9">
        <f t="shared" si="17"/>
        <v>6.711882997576879</v>
      </c>
      <c r="AU12" s="9">
        <f t="shared" si="17"/>
        <v>6.3762888476980351</v>
      </c>
      <c r="AV12" s="9">
        <f t="shared" si="17"/>
        <v>6.0574744053131333</v>
      </c>
      <c r="AW12" s="9">
        <f t="shared" si="17"/>
        <v>5.7546006850474765</v>
      </c>
      <c r="AX12" s="9">
        <f t="shared" si="17"/>
        <v>5.4668706507951024</v>
      </c>
      <c r="AY12" s="9">
        <f t="shared" si="17"/>
        <v>5.1935271182553473</v>
      </c>
      <c r="AZ12" s="9">
        <f t="shared" si="17"/>
        <v>4.9338507623425798</v>
      </c>
      <c r="BA12" s="9">
        <f t="shared" si="17"/>
        <v>4.6871582242254508</v>
      </c>
      <c r="BB12" s="9">
        <f t="shared" si="17"/>
        <v>4.452800313014178</v>
      </c>
      <c r="BC12" s="9">
        <f t="shared" si="17"/>
        <v>4.2301602973634687</v>
      </c>
      <c r="BD12" s="9">
        <f t="shared" si="17"/>
        <v>4.018652282495295</v>
      </c>
      <c r="BE12" s="9">
        <f t="shared" si="17"/>
        <v>3.8177196683705299</v>
      </c>
      <c r="BF12" s="9">
        <f t="shared" si="17"/>
        <v>3.6268336849520031</v>
      </c>
      <c r="BG12" s="9">
        <f t="shared" si="17"/>
        <v>3.445492000704403</v>
      </c>
      <c r="BH12" s="9">
        <f t="shared" si="17"/>
        <v>3.2732174006691825</v>
      </c>
      <c r="BI12" s="9">
        <f t="shared" si="17"/>
        <v>3.1095565306357233</v>
      </c>
      <c r="BJ12" s="9">
        <f t="shared" si="17"/>
        <v>2.9540787041039369</v>
      </c>
      <c r="BK12" s="9">
        <f t="shared" si="17"/>
        <v>2.8063747688987402</v>
      </c>
      <c r="BL12" s="9">
        <f t="shared" si="17"/>
        <v>2.6660560304538032</v>
      </c>
      <c r="BM12" s="9">
        <f t="shared" si="17"/>
        <v>2.5327532289311128</v>
      </c>
      <c r="BN12" s="9">
        <f t="shared" si="17"/>
        <v>2.4061155674845569</v>
      </c>
      <c r="BO12" s="9">
        <f t="shared" si="17"/>
        <v>2.2858097891103291</v>
      </c>
      <c r="BP12" s="9">
        <f t="shared" si="17"/>
        <v>2.1715192996548125</v>
      </c>
      <c r="BQ12" s="9">
        <f t="shared" si="17"/>
        <v>2.0629433346720716</v>
      </c>
      <c r="BR12" s="9">
        <f t="shared" si="17"/>
        <v>1.9597961679384679</v>
      </c>
      <c r="BS12" s="9">
        <f t="shared" si="17"/>
        <v>1.8618063595415444</v>
      </c>
      <c r="BT12" s="9">
        <f t="shared" si="17"/>
        <v>1.7687160415644672</v>
      </c>
      <c r="BU12" s="9">
        <f t="shared" si="17"/>
        <v>1.6802802394862437</v>
      </c>
      <c r="BV12" s="9">
        <f t="shared" si="17"/>
        <v>1.5962662275119315</v>
      </c>
      <c r="BW12" s="9">
        <f t="shared" si="17"/>
        <v>1.5164529161363349</v>
      </c>
      <c r="BX12" s="9">
        <f t="shared" si="17"/>
        <v>1.4406302703295182</v>
      </c>
      <c r="BY12" s="9">
        <f t="shared" si="17"/>
        <v>1.3685987568130422</v>
      </c>
      <c r="BZ12" s="9">
        <f t="shared" si="17"/>
        <v>1.3001688189723901</v>
      </c>
      <c r="CA12" s="9">
        <f t="shared" si="17"/>
        <v>1.2351603780237705</v>
      </c>
      <c r="CB12" s="9">
        <f t="shared" si="17"/>
        <v>1.173402359122582</v>
      </c>
      <c r="CC12" s="9">
        <f t="shared" si="17"/>
        <v>1.1147322411664529</v>
      </c>
      <c r="CD12" s="9">
        <f t="shared" si="17"/>
        <v>1.0589956291081302</v>
      </c>
      <c r="CE12" s="9">
        <f t="shared" si="17"/>
        <v>1.0060458476527236</v>
      </c>
      <c r="CF12" s="9">
        <f t="shared" si="17"/>
        <v>0.95574355527008736</v>
      </c>
      <c r="CG12" s="9">
        <f t="shared" si="17"/>
        <v>0.90795637750658298</v>
      </c>
      <c r="CH12" s="9">
        <f t="shared" si="17"/>
        <v>0.86255855863125375</v>
      </c>
      <c r="CI12" s="9">
        <f t="shared" si="17"/>
        <v>0.81943063069969102</v>
      </c>
      <c r="CJ12" s="9">
        <f t="shared" si="17"/>
        <v>0.77845909916470646</v>
      </c>
      <c r="CK12" s="9">
        <f t="shared" si="17"/>
        <v>0.73953614420647107</v>
      </c>
      <c r="CL12" s="9">
        <f t="shared" si="17"/>
        <v>0.70255933699614748</v>
      </c>
      <c r="CM12" s="9">
        <f t="shared" si="17"/>
        <v>0.66743137014634002</v>
      </c>
      <c r="CN12" s="9">
        <f t="shared" si="17"/>
        <v>0.63405980163902298</v>
      </c>
      <c r="CO12" s="9">
        <f t="shared" si="17"/>
        <v>0.60235681155707177</v>
      </c>
      <c r="CP12" s="9">
        <f t="shared" si="17"/>
        <v>0.57223897097921816</v>
      </c>
      <c r="CQ12" s="9">
        <f t="shared" si="17"/>
        <v>0.54362702243025718</v>
      </c>
      <c r="CR12" s="9">
        <f t="shared" si="17"/>
        <v>0.5164456713087443</v>
      </c>
      <c r="CS12" s="9">
        <f t="shared" si="17"/>
        <v>0.49062338774330705</v>
      </c>
      <c r="CT12" s="9">
        <f t="shared" si="17"/>
        <v>0.46609221835614167</v>
      </c>
      <c r="CU12" s="9">
        <f t="shared" si="17"/>
        <v>0.44278760743833456</v>
      </c>
      <c r="CV12" s="9">
        <f t="shared" si="17"/>
        <v>0.4206482270664178</v>
      </c>
    </row>
    <row r="13" spans="1:100" x14ac:dyDescent="0.25">
      <c r="A13" s="1" t="s">
        <v>3</v>
      </c>
      <c r="B13" s="1">
        <v>1185</v>
      </c>
      <c r="C13" s="1">
        <v>1184</v>
      </c>
      <c r="D13" s="1">
        <v>1190</v>
      </c>
      <c r="E13" s="1">
        <v>1191</v>
      </c>
      <c r="F13" s="1">
        <v>1190</v>
      </c>
      <c r="G13" s="9">
        <f>1186</f>
        <v>1186</v>
      </c>
      <c r="H13" s="1">
        <v>1187</v>
      </c>
      <c r="I13" s="1">
        <v>1183</v>
      </c>
      <c r="J13" s="1">
        <v>1172</v>
      </c>
      <c r="K13" s="8">
        <v>1158</v>
      </c>
      <c r="L13" s="3">
        <f>K13-Main!H5</f>
        <v>1151.967687788502</v>
      </c>
      <c r="M13" s="3">
        <f>L13-Main!H5</f>
        <v>1145.9353755770039</v>
      </c>
      <c r="Q13" s="3">
        <f>Q11/Q12</f>
        <v>1187.9227053140098</v>
      </c>
      <c r="R13" s="3">
        <f>AVERAGE(B13:E13)</f>
        <v>1187.5</v>
      </c>
      <c r="S13" s="3">
        <f>AVERAGE(F13:I13)</f>
        <v>1186.5</v>
      </c>
      <c r="T13" s="3">
        <f>T11/T12</f>
        <v>1154.031357906694</v>
      </c>
      <c r="U13" s="12">
        <f>T13-Main!G13</f>
        <v>1128.1536127675138</v>
      </c>
      <c r="V13" s="3">
        <f>U13-Main!G13</f>
        <v>1102.2758676283336</v>
      </c>
      <c r="W13" s="3">
        <f>V13-Main!G13</f>
        <v>1076.3981224891534</v>
      </c>
      <c r="X13" s="3">
        <f t="shared" ref="X13:Y13" si="18">W13*(1+X21)</f>
        <v>1054.8701600393704</v>
      </c>
      <c r="Y13" s="3">
        <f t="shared" si="18"/>
        <v>1033.7727568385828</v>
      </c>
    </row>
    <row r="15" spans="1:100" x14ac:dyDescent="0.25">
      <c r="A15" s="1" t="s">
        <v>51</v>
      </c>
      <c r="B15" s="13">
        <f t="shared" ref="B15:K15" si="19">B7/B5</f>
        <v>8.6184495452576879E-2</v>
      </c>
      <c r="C15" s="13">
        <f t="shared" si="19"/>
        <v>0.18076411328644745</v>
      </c>
      <c r="D15" s="13">
        <f t="shared" si="19"/>
        <v>0.17897050741894119</v>
      </c>
      <c r="E15" s="13">
        <f t="shared" si="19"/>
        <v>0.15745585349901897</v>
      </c>
      <c r="F15" s="13">
        <f t="shared" si="19"/>
        <v>0.17271672468092159</v>
      </c>
      <c r="G15" s="13">
        <f t="shared" si="19"/>
        <v>0.18066688041038795</v>
      </c>
      <c r="H15" s="13">
        <f t="shared" si="19"/>
        <v>0.16871562601099968</v>
      </c>
      <c r="I15" s="13">
        <f t="shared" si="19"/>
        <v>0.15177797051170858</v>
      </c>
      <c r="J15" s="13">
        <f t="shared" si="19"/>
        <v>0.10967144840351689</v>
      </c>
      <c r="K15" s="13">
        <f t="shared" si="19"/>
        <v>0.11225389362327358</v>
      </c>
      <c r="L15" s="13"/>
    </row>
    <row r="16" spans="1:100" x14ac:dyDescent="0.25">
      <c r="A16" s="1" t="s">
        <v>52</v>
      </c>
      <c r="B16" s="13">
        <f t="shared" ref="B16:L16" si="20">B11/B5</f>
        <v>1.8189692507579038E-2</v>
      </c>
      <c r="C16" s="13">
        <f t="shared" si="20"/>
        <v>0.29081923588671355</v>
      </c>
      <c r="D16" s="13">
        <f t="shared" si="20"/>
        <v>0.18703059168345851</v>
      </c>
      <c r="E16" s="13">
        <f t="shared" si="20"/>
        <v>0.25621321124918245</v>
      </c>
      <c r="F16" s="13">
        <f t="shared" si="20"/>
        <v>0.1818332504558263</v>
      </c>
      <c r="G16" s="13">
        <f t="shared" si="20"/>
        <v>0.18980442449503046</v>
      </c>
      <c r="H16" s="13">
        <f t="shared" si="20"/>
        <v>0.17583306373341961</v>
      </c>
      <c r="I16" s="13">
        <f t="shared" si="20"/>
        <v>0.11578490893321769</v>
      </c>
      <c r="J16" s="13">
        <f t="shared" si="20"/>
        <v>7.8513034089156261E-2</v>
      </c>
      <c r="K16" s="13">
        <f t="shared" si="20"/>
        <v>-5.0102850426094622E-2</v>
      </c>
      <c r="L16" s="13">
        <f t="shared" si="20"/>
        <v>0.10333827787514503</v>
      </c>
      <c r="M16" s="14">
        <v>0.1</v>
      </c>
      <c r="Q16" s="15">
        <f t="shared" ref="Q16:T16" si="21">Q11/Q5</f>
        <v>0.13836371820841772</v>
      </c>
      <c r="R16" s="15">
        <f t="shared" si="21"/>
        <v>0.19586091171809453</v>
      </c>
      <c r="S16" s="15">
        <f t="shared" si="21"/>
        <v>0.16432146939419021</v>
      </c>
      <c r="T16" s="15">
        <f t="shared" si="21"/>
        <v>5.8907977585707191E-2</v>
      </c>
      <c r="U16" s="14">
        <v>0.15</v>
      </c>
      <c r="V16" s="14">
        <v>0.15</v>
      </c>
      <c r="W16" s="14">
        <v>0.15</v>
      </c>
      <c r="X16" s="14">
        <v>0.15</v>
      </c>
      <c r="Y16" s="14">
        <v>0.15</v>
      </c>
    </row>
    <row r="18" spans="1:100" x14ac:dyDescent="0.25">
      <c r="A18" s="1" t="s">
        <v>53</v>
      </c>
      <c r="F18" s="13">
        <f t="shared" ref="F18:K18" si="22">F5/B5-1</f>
        <v>0.30640970116933741</v>
      </c>
      <c r="G18" s="13">
        <f t="shared" si="22"/>
        <v>0.18570613951720216</v>
      </c>
      <c r="H18" s="13">
        <f t="shared" si="22"/>
        <v>0.13244183916468222</v>
      </c>
      <c r="I18" s="13">
        <f t="shared" si="22"/>
        <v>0.13113145846958796</v>
      </c>
      <c r="J18" s="13">
        <f t="shared" si="22"/>
        <v>7.458975634012921E-2</v>
      </c>
      <c r="K18" s="13">
        <f t="shared" si="22"/>
        <v>9.105482526450781E-2</v>
      </c>
      <c r="S18" s="13"/>
      <c r="U18" s="14">
        <v>0.1</v>
      </c>
      <c r="V18" s="14">
        <v>0.1</v>
      </c>
      <c r="W18" s="14">
        <v>0.1</v>
      </c>
      <c r="X18" s="14">
        <v>0.1</v>
      </c>
      <c r="Y18" s="14">
        <v>0.1</v>
      </c>
    </row>
    <row r="19" spans="1:100" x14ac:dyDescent="0.25">
      <c r="A19" s="1" t="s">
        <v>54</v>
      </c>
      <c r="F19" s="13">
        <f t="shared" ref="F19:K19" si="23">F12/B12-1</f>
        <v>12.004651860744296</v>
      </c>
      <c r="G19" s="13">
        <f t="shared" si="23"/>
        <v>-0.22744877602530622</v>
      </c>
      <c r="H19" s="13">
        <f t="shared" si="23"/>
        <v>6.7333263472139748E-2</v>
      </c>
      <c r="I19" s="13">
        <f t="shared" si="23"/>
        <v>-0.48537540707782723</v>
      </c>
      <c r="J19" s="13">
        <f t="shared" si="23"/>
        <v>-0.52888112475538307</v>
      </c>
      <c r="K19" s="13">
        <f t="shared" si="23"/>
        <v>-1.294970650702516</v>
      </c>
      <c r="Q19" s="13"/>
      <c r="R19" s="13">
        <f t="shared" ref="R19:Y19" si="24">R12/Q12-1</f>
        <v>0.7094330027968474</v>
      </c>
      <c r="S19" s="13">
        <f t="shared" si="24"/>
        <v>-7.0172071052393425E-3</v>
      </c>
      <c r="T19" s="13">
        <f t="shared" si="24"/>
        <v>-0.59760432433379163</v>
      </c>
      <c r="U19" s="13">
        <f t="shared" si="24"/>
        <v>1.8652281059899534</v>
      </c>
      <c r="V19" s="13">
        <f t="shared" si="24"/>
        <v>0.12582431539061534</v>
      </c>
      <c r="W19" s="13">
        <f t="shared" si="24"/>
        <v>0.12644515914545873</v>
      </c>
      <c r="X19" s="13">
        <f t="shared" si="24"/>
        <v>0.12244897959183665</v>
      </c>
      <c r="Y19" s="13">
        <f t="shared" si="24"/>
        <v>0.12244897959183687</v>
      </c>
      <c r="Z19" s="14">
        <v>0.05</v>
      </c>
      <c r="AA19" s="14">
        <v>0.05</v>
      </c>
      <c r="AB19" s="14">
        <v>0.05</v>
      </c>
      <c r="AC19" s="14">
        <v>0.05</v>
      </c>
      <c r="AD19" s="14">
        <v>0.05</v>
      </c>
      <c r="AE19" s="14">
        <v>0.05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1" spans="1:100" x14ac:dyDescent="0.25">
      <c r="A21" s="1" t="s">
        <v>55</v>
      </c>
      <c r="T21" s="13">
        <f t="shared" ref="T21:W21" si="25">T13/S13-1</f>
        <v>-2.7365058654282404E-2</v>
      </c>
      <c r="U21" s="13">
        <f t="shared" si="25"/>
        <v>-2.2423779875548666E-2</v>
      </c>
      <c r="V21" s="13">
        <f t="shared" si="25"/>
        <v>-2.2938139670269364E-2</v>
      </c>
      <c r="W21" s="13">
        <f t="shared" si="25"/>
        <v>-2.3476650355104822E-2</v>
      </c>
      <c r="X21" s="16">
        <v>-0.02</v>
      </c>
      <c r="Y21" s="16">
        <v>-0.02</v>
      </c>
    </row>
    <row r="24" spans="1:100" x14ac:dyDescent="0.25">
      <c r="Z24" s="1" t="s">
        <v>56</v>
      </c>
      <c r="AA24" s="14">
        <v>0.1</v>
      </c>
    </row>
    <row r="25" spans="1:100" x14ac:dyDescent="0.25">
      <c r="Z25" s="17" t="s">
        <v>57</v>
      </c>
      <c r="AA25" s="18">
        <f t="array" ref="AA25">NPV(AA24,U12:CV12)</f>
        <v>65.928938377851267</v>
      </c>
    </row>
    <row r="26" spans="1:100" x14ac:dyDescent="0.25">
      <c r="Z26" s="1" t="s">
        <v>11</v>
      </c>
      <c r="AA26" s="5">
        <f>Main!E8</f>
        <v>-892</v>
      </c>
    </row>
    <row r="27" spans="1:100" x14ac:dyDescent="0.25">
      <c r="Z27" s="1" t="s">
        <v>58</v>
      </c>
      <c r="AA27" s="4">
        <f>AA26/Main!E4</f>
        <v>-0.77029360967184801</v>
      </c>
    </row>
    <row r="28" spans="1:100" x14ac:dyDescent="0.25">
      <c r="Z28" s="1" t="s">
        <v>59</v>
      </c>
      <c r="AA28" s="9">
        <f>Main!E3</f>
        <v>95.32</v>
      </c>
    </row>
    <row r="29" spans="1:100" x14ac:dyDescent="0.25">
      <c r="Z29" s="19" t="s">
        <v>60</v>
      </c>
      <c r="AA29" s="20">
        <f>AA28-AA27</f>
        <v>96.090293609671846</v>
      </c>
    </row>
    <row r="31" spans="1:100" x14ac:dyDescent="0.25">
      <c r="Z31" s="6" t="s">
        <v>61</v>
      </c>
      <c r="AA31" s="21">
        <f>AA25/AA29-1</f>
        <v>-0.31388555595780521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6"/>
  <sheetViews>
    <sheetView topLeftCell="A13" workbookViewId="0">
      <selection activeCell="A26" sqref="A26:B26"/>
    </sheetView>
  </sheetViews>
  <sheetFormatPr defaultColWidth="12.6640625" defaultRowHeight="15.75" customHeight="1" x14ac:dyDescent="0.25"/>
  <cols>
    <col min="1" max="1" width="18.21875" customWidth="1"/>
    <col min="2" max="2" width="18.33203125" customWidth="1"/>
  </cols>
  <sheetData>
    <row r="1" spans="1:5" x14ac:dyDescent="0.25">
      <c r="A1" s="1" t="s">
        <v>39</v>
      </c>
    </row>
    <row r="3" spans="1:5" x14ac:dyDescent="0.25">
      <c r="B3" s="1" t="s">
        <v>62</v>
      </c>
      <c r="C3" s="10">
        <f>SUM(C4:C5)</f>
        <v>55252</v>
      </c>
      <c r="D3" s="1" t="s">
        <v>63</v>
      </c>
      <c r="E3" s="1">
        <v>45095</v>
      </c>
    </row>
    <row r="4" spans="1:5" x14ac:dyDescent="0.25">
      <c r="B4" s="1" t="s">
        <v>7</v>
      </c>
      <c r="C4" s="10">
        <f>4583+4723</f>
        <v>9306</v>
      </c>
    </row>
    <row r="5" spans="1:5" x14ac:dyDescent="0.25">
      <c r="B5" s="1" t="s">
        <v>64</v>
      </c>
      <c r="C5" s="10">
        <f>867+5749+37221+2109</f>
        <v>45946</v>
      </c>
      <c r="D5" s="1" t="s">
        <v>65</v>
      </c>
      <c r="E5" s="1">
        <v>10198</v>
      </c>
    </row>
    <row r="6" spans="1:5" x14ac:dyDescent="0.25">
      <c r="C6" s="10"/>
      <c r="D6" s="1" t="s">
        <v>66</v>
      </c>
      <c r="E6" s="1">
        <v>2750</v>
      </c>
    </row>
    <row r="7" spans="1:5" x14ac:dyDescent="0.25">
      <c r="B7" s="1" t="s">
        <v>67</v>
      </c>
      <c r="C7" s="8">
        <v>6270</v>
      </c>
    </row>
    <row r="8" spans="1:5" x14ac:dyDescent="0.25">
      <c r="B8" s="1" t="s">
        <v>68</v>
      </c>
      <c r="C8" s="8">
        <v>1832</v>
      </c>
      <c r="D8" s="1" t="s">
        <v>69</v>
      </c>
      <c r="E8" s="9">
        <f>E3+E5+E6</f>
        <v>58043</v>
      </c>
    </row>
    <row r="9" spans="1:5" x14ac:dyDescent="0.25">
      <c r="B9" s="1" t="s">
        <v>70</v>
      </c>
      <c r="C9" s="8">
        <v>11146</v>
      </c>
    </row>
    <row r="10" spans="1:5" x14ac:dyDescent="0.25">
      <c r="B10" s="1" t="s">
        <v>71</v>
      </c>
      <c r="C10" s="8">
        <v>1001</v>
      </c>
      <c r="D10" s="1" t="s">
        <v>72</v>
      </c>
      <c r="E10" s="1">
        <v>19767</v>
      </c>
    </row>
    <row r="11" spans="1:5" x14ac:dyDescent="0.25">
      <c r="B11" s="1" t="s">
        <v>66</v>
      </c>
      <c r="C11" s="8">
        <v>2309</v>
      </c>
    </row>
    <row r="12" spans="1:5" x14ac:dyDescent="0.25">
      <c r="C12" s="10"/>
    </row>
    <row r="13" spans="1:5" x14ac:dyDescent="0.25">
      <c r="B13" s="1" t="s">
        <v>73</v>
      </c>
      <c r="C13" s="10">
        <f>SUM(C4:C11)</f>
        <v>77810</v>
      </c>
      <c r="D13" s="1" t="s">
        <v>73</v>
      </c>
      <c r="E13" s="9">
        <f>E8+E10</f>
        <v>77810</v>
      </c>
    </row>
    <row r="16" spans="1:5" x14ac:dyDescent="0.25">
      <c r="A16" s="22" t="s">
        <v>74</v>
      </c>
      <c r="B16" s="22">
        <f>C3-E3</f>
        <v>10157</v>
      </c>
    </row>
    <row r="18" spans="1:3" x14ac:dyDescent="0.25">
      <c r="A18" s="1" t="s">
        <v>75</v>
      </c>
      <c r="B18" s="9">
        <f>E10</f>
        <v>19767</v>
      </c>
    </row>
    <row r="19" spans="1:3" x14ac:dyDescent="0.25">
      <c r="A19" s="1" t="s">
        <v>76</v>
      </c>
      <c r="B19" s="9">
        <f>B18-C9-C10</f>
        <v>7620</v>
      </c>
    </row>
    <row r="20" spans="1:3" x14ac:dyDescent="0.25">
      <c r="A20" s="1" t="s">
        <v>3</v>
      </c>
      <c r="B20" s="1">
        <v>1158</v>
      </c>
      <c r="C20" s="1" t="s">
        <v>77</v>
      </c>
    </row>
    <row r="21" spans="1:3" x14ac:dyDescent="0.25">
      <c r="A21" s="1" t="s">
        <v>78</v>
      </c>
      <c r="B21" s="4">
        <f>B19/B20</f>
        <v>6.5803108808290158</v>
      </c>
    </row>
    <row r="22" spans="1:3" x14ac:dyDescent="0.25">
      <c r="A22" s="23" t="s">
        <v>79</v>
      </c>
      <c r="B22" s="24">
        <f>SUM('Conto Economico'!H11:K11)/E10</f>
        <v>0.10401173673293873</v>
      </c>
    </row>
    <row r="24" spans="1:3" x14ac:dyDescent="0.25">
      <c r="A24" s="1"/>
      <c r="B24" s="4"/>
    </row>
    <row r="26" spans="1:3" x14ac:dyDescent="0.25">
      <c r="A26" s="6" t="s">
        <v>80</v>
      </c>
      <c r="B26" s="21">
        <f>E8/C13</f>
        <v>0.74595810307158461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Main</vt:lpstr>
      <vt:lpstr>Conto Economico</vt:lpstr>
      <vt:lpstr>Stato patrimoniale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</cp:lastModifiedBy>
  <dcterms:modified xsi:type="dcterms:W3CDTF">2022-08-07T09:52:53Z</dcterms:modified>
</cp:coreProperties>
</file>