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e\Desktop\Excel\"/>
    </mc:Choice>
  </mc:AlternateContent>
  <xr:revisionPtr revIDLastSave="0" documentId="13_ncr:1_{35A4EC55-B5E6-4267-9F46-8436F878A843}" xr6:coauthVersionLast="47" xr6:coauthVersionMax="47" xr10:uidLastSave="{00000000-0000-0000-0000-000000000000}"/>
  <bookViews>
    <workbookView xWindow="-108" yWindow="-108" windowWidth="23256" windowHeight="12576" activeTab="1" xr2:uid="{C939B75D-3485-44FD-B649-B53F602BE717}"/>
  </bookViews>
  <sheets>
    <sheet name="Main" sheetId="1" r:id="rId1"/>
    <sheet name="Conto Economico" sheetId="3" r:id="rId2"/>
    <sheet name="Stato Patrimoniale" sheetId="2" r:id="rId3"/>
    <sheet name="Mercato delle auto mondia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21" i="3" l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BN21" i="3" s="1"/>
  <c r="BO21" i="3" s="1"/>
  <c r="BP21" i="3" s="1"/>
  <c r="BQ21" i="3" s="1"/>
  <c r="BR21" i="3" s="1"/>
  <c r="BS21" i="3" s="1"/>
  <c r="BT21" i="3" s="1"/>
  <c r="BU21" i="3" s="1"/>
  <c r="BV21" i="3" s="1"/>
  <c r="BW21" i="3" s="1"/>
  <c r="BX21" i="3" s="1"/>
  <c r="BY21" i="3" s="1"/>
  <c r="BZ21" i="3" s="1"/>
  <c r="CA21" i="3" s="1"/>
  <c r="CB21" i="3" s="1"/>
  <c r="CC21" i="3" s="1"/>
  <c r="CD21" i="3" s="1"/>
  <c r="CE21" i="3" s="1"/>
  <c r="CF21" i="3" s="1"/>
  <c r="CG21" i="3" s="1"/>
  <c r="CH21" i="3" s="1"/>
  <c r="CI21" i="3" s="1"/>
  <c r="CJ21" i="3" s="1"/>
  <c r="CK21" i="3" s="1"/>
  <c r="CL21" i="3" s="1"/>
  <c r="CM21" i="3" s="1"/>
  <c r="CN21" i="3" s="1"/>
  <c r="CO21" i="3" s="1"/>
  <c r="CP21" i="3" s="1"/>
  <c r="AC32" i="3"/>
  <c r="AC31" i="3"/>
  <c r="X32" i="3"/>
  <c r="S29" i="3"/>
  <c r="R29" i="3"/>
  <c r="U32" i="3"/>
  <c r="V32" i="3"/>
  <c r="W32" i="3"/>
  <c r="T32" i="3"/>
  <c r="F10" i="4"/>
  <c r="G10" i="4"/>
  <c r="H10" i="4"/>
  <c r="I10" i="4"/>
  <c r="J10" i="4"/>
  <c r="K10" i="4"/>
  <c r="E10" i="4"/>
  <c r="H8" i="4"/>
  <c r="L4" i="4"/>
  <c r="K4" i="4"/>
  <c r="D5" i="4"/>
  <c r="E5" i="4"/>
  <c r="F5" i="4"/>
  <c r="G5" i="4"/>
  <c r="H5" i="4"/>
  <c r="I5" i="4"/>
  <c r="J5" i="4"/>
  <c r="C5" i="4"/>
  <c r="T26" i="3"/>
  <c r="S17" i="3"/>
  <c r="S16" i="3"/>
  <c r="S4" i="3"/>
  <c r="T4" i="3" s="1"/>
  <c r="U4" i="3" s="1"/>
  <c r="V4" i="3" s="1"/>
  <c r="W4" i="3" s="1"/>
  <c r="S22" i="3"/>
  <c r="T22" i="3" s="1"/>
  <c r="U22" i="3" s="1"/>
  <c r="V22" i="3" s="1"/>
  <c r="W22" i="3" s="1"/>
  <c r="X22" i="3" s="1"/>
  <c r="R22" i="3"/>
  <c r="R21" i="3"/>
  <c r="R19" i="3"/>
  <c r="R17" i="3"/>
  <c r="R13" i="3"/>
  <c r="R14" i="3"/>
  <c r="R12" i="3"/>
  <c r="R8" i="3"/>
  <c r="R9" i="3"/>
  <c r="R7" i="3"/>
  <c r="R4" i="3"/>
  <c r="R5" i="3"/>
  <c r="R3" i="3"/>
  <c r="J8" i="4" s="1"/>
  <c r="Q22" i="3"/>
  <c r="Q19" i="3"/>
  <c r="Q14" i="3"/>
  <c r="Q8" i="3"/>
  <c r="Q9" i="3"/>
  <c r="Q7" i="3"/>
  <c r="P16" i="3"/>
  <c r="P10" i="3"/>
  <c r="P6" i="3"/>
  <c r="N22" i="3"/>
  <c r="M22" i="3"/>
  <c r="M16" i="3"/>
  <c r="N16" i="3"/>
  <c r="M13" i="3"/>
  <c r="S13" i="3" s="1"/>
  <c r="N13" i="3"/>
  <c r="M14" i="3"/>
  <c r="S14" i="3" s="1"/>
  <c r="N14" i="3"/>
  <c r="N12" i="3"/>
  <c r="S12" i="3" s="1"/>
  <c r="M12" i="3"/>
  <c r="M8" i="3"/>
  <c r="S8" i="3" s="1"/>
  <c r="N8" i="3"/>
  <c r="M9" i="3"/>
  <c r="S9" i="3" s="1"/>
  <c r="N9" i="3"/>
  <c r="N7" i="3"/>
  <c r="M7" i="3"/>
  <c r="M5" i="3"/>
  <c r="S5" i="3" s="1"/>
  <c r="T5" i="3" s="1"/>
  <c r="U5" i="3" s="1"/>
  <c r="V5" i="3" s="1"/>
  <c r="W5" i="3" s="1"/>
  <c r="X5" i="3" s="1"/>
  <c r="N5" i="3"/>
  <c r="N4" i="3"/>
  <c r="M4" i="3"/>
  <c r="N3" i="3"/>
  <c r="M3" i="3"/>
  <c r="G31" i="3"/>
  <c r="H31" i="3"/>
  <c r="I31" i="3"/>
  <c r="K31" i="3"/>
  <c r="G32" i="3"/>
  <c r="H32" i="3"/>
  <c r="I32" i="3"/>
  <c r="J32" i="3"/>
  <c r="K32" i="3"/>
  <c r="G33" i="3"/>
  <c r="H33" i="3"/>
  <c r="I33" i="3"/>
  <c r="K33" i="3"/>
  <c r="G34" i="3"/>
  <c r="H34" i="3"/>
  <c r="I34" i="3"/>
  <c r="J34" i="3"/>
  <c r="K34" i="3"/>
  <c r="G35" i="3"/>
  <c r="H35" i="3"/>
  <c r="I35" i="3"/>
  <c r="J35" i="3"/>
  <c r="K35" i="3"/>
  <c r="G36" i="3"/>
  <c r="H36" i="3"/>
  <c r="I36" i="3"/>
  <c r="J36" i="3"/>
  <c r="K36" i="3"/>
  <c r="L35" i="3"/>
  <c r="L36" i="3"/>
  <c r="L34" i="3"/>
  <c r="L32" i="3"/>
  <c r="L33" i="3"/>
  <c r="L31" i="3"/>
  <c r="E28" i="3"/>
  <c r="F28" i="3"/>
  <c r="G28" i="3"/>
  <c r="H28" i="3"/>
  <c r="I28" i="3"/>
  <c r="J28" i="3"/>
  <c r="K28" i="3"/>
  <c r="L28" i="3"/>
  <c r="D28" i="3"/>
  <c r="K24" i="3"/>
  <c r="L24" i="3"/>
  <c r="C16" i="3"/>
  <c r="Q16" i="3" s="1"/>
  <c r="F19" i="3"/>
  <c r="F17" i="3"/>
  <c r="Q17" i="3" s="1"/>
  <c r="F13" i="3"/>
  <c r="Q13" i="3" s="1"/>
  <c r="F12" i="3"/>
  <c r="Q12" i="3" s="1"/>
  <c r="F9" i="3"/>
  <c r="F8" i="3"/>
  <c r="F7" i="3"/>
  <c r="F3" i="3"/>
  <c r="Q3" i="3" s="1"/>
  <c r="I8" i="4" s="1"/>
  <c r="F4" i="3"/>
  <c r="Q4" i="3" s="1"/>
  <c r="F5" i="3"/>
  <c r="Q5" i="3" s="1"/>
  <c r="D16" i="3"/>
  <c r="F16" i="3" s="1"/>
  <c r="E21" i="3"/>
  <c r="F21" i="3" s="1"/>
  <c r="Q21" i="3" s="1"/>
  <c r="E16" i="3"/>
  <c r="C10" i="3"/>
  <c r="C6" i="3"/>
  <c r="D6" i="3"/>
  <c r="D10" i="3"/>
  <c r="E10" i="3"/>
  <c r="E6" i="3"/>
  <c r="G16" i="3"/>
  <c r="G10" i="3"/>
  <c r="G6" i="3"/>
  <c r="G24" i="3" s="1"/>
  <c r="L16" i="3"/>
  <c r="K16" i="3"/>
  <c r="J16" i="3"/>
  <c r="I16" i="3"/>
  <c r="H16" i="3"/>
  <c r="R16" i="3" s="1"/>
  <c r="L10" i="3"/>
  <c r="K10" i="3"/>
  <c r="J10" i="3"/>
  <c r="I10" i="3"/>
  <c r="H10" i="3"/>
  <c r="I6" i="3"/>
  <c r="I24" i="3" s="1"/>
  <c r="J6" i="3"/>
  <c r="K6" i="3"/>
  <c r="L6" i="3"/>
  <c r="H6" i="3"/>
  <c r="H24" i="3" s="1"/>
  <c r="B12" i="2"/>
  <c r="B11" i="2"/>
  <c r="D8" i="2"/>
  <c r="D7" i="2"/>
  <c r="B7" i="2"/>
  <c r="D4" i="2"/>
  <c r="B4" i="2"/>
  <c r="G3" i="2"/>
  <c r="G5" i="1"/>
  <c r="G9" i="1" s="1"/>
  <c r="G8" i="1"/>
  <c r="G7" i="1"/>
  <c r="X4" i="3" l="1"/>
  <c r="J31" i="3"/>
  <c r="Q10" i="3"/>
  <c r="J33" i="3"/>
  <c r="E11" i="3"/>
  <c r="P11" i="3"/>
  <c r="P15" i="3" s="1"/>
  <c r="P18" i="3" s="1"/>
  <c r="P20" i="3" s="1"/>
  <c r="P26" i="3" s="1"/>
  <c r="S7" i="3"/>
  <c r="S10" i="3" s="1"/>
  <c r="S3" i="3"/>
  <c r="R10" i="3"/>
  <c r="R6" i="3"/>
  <c r="Q6" i="3"/>
  <c r="M10" i="3"/>
  <c r="N10" i="3"/>
  <c r="M6" i="3"/>
  <c r="M24" i="3" s="1"/>
  <c r="N6" i="3"/>
  <c r="F10" i="3"/>
  <c r="C11" i="3"/>
  <c r="F6" i="3"/>
  <c r="J24" i="3" s="1"/>
  <c r="D11" i="3"/>
  <c r="G11" i="3"/>
  <c r="H11" i="3"/>
  <c r="K11" i="3"/>
  <c r="J11" i="3"/>
  <c r="L11" i="3"/>
  <c r="I11" i="3"/>
  <c r="T3" i="3" l="1"/>
  <c r="K8" i="4"/>
  <c r="H15" i="3"/>
  <c r="H18" i="3" s="1"/>
  <c r="H25" i="3"/>
  <c r="E25" i="3"/>
  <c r="E15" i="3"/>
  <c r="E18" i="3" s="1"/>
  <c r="I15" i="3"/>
  <c r="I18" i="3" s="1"/>
  <c r="I25" i="3"/>
  <c r="C15" i="3"/>
  <c r="C18" i="3" s="1"/>
  <c r="C25" i="3"/>
  <c r="J15" i="3"/>
  <c r="J18" i="3" s="1"/>
  <c r="J25" i="3"/>
  <c r="K15" i="3"/>
  <c r="K18" i="3" s="1"/>
  <c r="K25" i="3"/>
  <c r="G15" i="3"/>
  <c r="G18" i="3" s="1"/>
  <c r="G25" i="3"/>
  <c r="L15" i="3"/>
  <c r="L18" i="3" s="1"/>
  <c r="L25" i="3"/>
  <c r="Q11" i="3"/>
  <c r="Q15" i="3" s="1"/>
  <c r="Q18" i="3" s="1"/>
  <c r="Q20" i="3" s="1"/>
  <c r="Q26" i="3" s="1"/>
  <c r="Q24" i="3"/>
  <c r="D15" i="3"/>
  <c r="D18" i="3" s="1"/>
  <c r="D25" i="3"/>
  <c r="R24" i="3"/>
  <c r="S6" i="3"/>
  <c r="S24" i="3" s="1"/>
  <c r="S11" i="3"/>
  <c r="S15" i="3" s="1"/>
  <c r="S18" i="3" s="1"/>
  <c r="R11" i="3"/>
  <c r="R15" i="3" s="1"/>
  <c r="R18" i="3" s="1"/>
  <c r="R20" i="3" s="1"/>
  <c r="R26" i="3" s="1"/>
  <c r="N11" i="3"/>
  <c r="N15" i="3" s="1"/>
  <c r="N18" i="3" s="1"/>
  <c r="N24" i="3"/>
  <c r="M11" i="3"/>
  <c r="M15" i="3" s="1"/>
  <c r="M18" i="3" s="1"/>
  <c r="F11" i="3"/>
  <c r="F15" i="3" l="1"/>
  <c r="F18" i="3" s="1"/>
  <c r="F25" i="3"/>
  <c r="G20" i="3"/>
  <c r="G26" i="3" s="1"/>
  <c r="G27" i="3"/>
  <c r="I20" i="3"/>
  <c r="I26" i="3" s="1"/>
  <c r="I27" i="3"/>
  <c r="E20" i="3"/>
  <c r="E26" i="3" s="1"/>
  <c r="E27" i="3"/>
  <c r="D27" i="3"/>
  <c r="D20" i="3"/>
  <c r="D26" i="3" s="1"/>
  <c r="K20" i="3"/>
  <c r="K26" i="3" s="1"/>
  <c r="K27" i="3"/>
  <c r="J20" i="3"/>
  <c r="J27" i="3"/>
  <c r="H20" i="3"/>
  <c r="H26" i="3" s="1"/>
  <c r="H27" i="3"/>
  <c r="L20" i="3"/>
  <c r="L26" i="3" s="1"/>
  <c r="L27" i="3"/>
  <c r="C20" i="3"/>
  <c r="C26" i="3" s="1"/>
  <c r="C27" i="3"/>
  <c r="L7" i="4"/>
  <c r="L10" i="4" s="1"/>
  <c r="U3" i="3"/>
  <c r="T6" i="3"/>
  <c r="N19" i="3"/>
  <c r="N20" i="3" s="1"/>
  <c r="M19" i="3"/>
  <c r="S19" i="3" s="1"/>
  <c r="S20" i="3" s="1"/>
  <c r="S26" i="3" s="1"/>
  <c r="N25" i="3"/>
  <c r="M25" i="3"/>
  <c r="T11" i="3" l="1"/>
  <c r="T24" i="3"/>
  <c r="T20" i="3"/>
  <c r="T21" i="3" s="1"/>
  <c r="T29" i="3" s="1"/>
  <c r="B14" i="2"/>
  <c r="B16" i="2" s="1"/>
  <c r="J26" i="3"/>
  <c r="V3" i="3"/>
  <c r="U6" i="3"/>
  <c r="M7" i="4"/>
  <c r="M10" i="4" s="1"/>
  <c r="F27" i="3"/>
  <c r="F20" i="3"/>
  <c r="F26" i="3" s="1"/>
  <c r="N21" i="3"/>
  <c r="N26" i="3"/>
  <c r="M20" i="3"/>
  <c r="U24" i="3" l="1"/>
  <c r="U11" i="3"/>
  <c r="U20" i="3"/>
  <c r="U21" i="3" s="1"/>
  <c r="W3" i="3"/>
  <c r="V6" i="3"/>
  <c r="N7" i="4"/>
  <c r="N10" i="4" s="1"/>
  <c r="M21" i="3"/>
  <c r="S21" i="3" s="1"/>
  <c r="M26" i="3"/>
  <c r="M4" i="4"/>
  <c r="N4" i="4" s="1"/>
  <c r="O4" i="4" s="1"/>
  <c r="P4" i="4" s="1"/>
  <c r="U29" i="3" l="1"/>
  <c r="X3" i="3"/>
  <c r="W6" i="3"/>
  <c r="O7" i="4"/>
  <c r="O10" i="4" s="1"/>
  <c r="V20" i="3"/>
  <c r="V21" i="3" s="1"/>
  <c r="V29" i="3" s="1"/>
  <c r="V24" i="3"/>
  <c r="V11" i="3"/>
  <c r="W20" i="3" l="1"/>
  <c r="W21" i="3" s="1"/>
  <c r="W29" i="3" s="1"/>
  <c r="W24" i="3"/>
  <c r="W11" i="3"/>
  <c r="X6" i="3"/>
  <c r="P7" i="4"/>
  <c r="P10" i="4" s="1"/>
  <c r="X20" i="3" l="1"/>
  <c r="X21" i="3" s="1"/>
  <c r="Y21" i="3" s="1"/>
  <c r="X24" i="3"/>
  <c r="X11" i="3"/>
  <c r="Z21" i="3" l="1"/>
  <c r="AA21" i="3" s="1"/>
  <c r="AB21" i="3" s="1"/>
  <c r="AC21" i="3" s="1"/>
  <c r="AD21" i="3" s="1"/>
  <c r="AE21" i="3" s="1"/>
  <c r="AF21" i="3" s="1"/>
  <c r="AG21" i="3" s="1"/>
  <c r="AH21" i="3" s="1"/>
  <c r="AI21" i="3" s="1"/>
  <c r="X29" i="3"/>
  <c r="AC28" i="3" l="1"/>
  <c r="AC3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Gale</author>
  </authors>
  <commentList>
    <comment ref="P10" authorId="0" shapeId="0" xr:uid="{EB324422-5459-4D44-A6F1-FE0F811714CB}">
      <text>
        <r>
          <rPr>
            <b/>
            <sz val="9"/>
            <color indexed="81"/>
            <rFont val="Tahoma"/>
            <charset val="1"/>
          </rPr>
          <t>Gale:</t>
        </r>
        <r>
          <rPr>
            <sz val="9"/>
            <color indexed="81"/>
            <rFont val="Tahoma"/>
            <charset val="1"/>
          </rPr>
          <t xml:space="preserve">
Tesla rappresenta il 75% delle vendite di auto elettriche totali, riuscirà ad essere il 12
% di tutte le vendite di auto nel 2027?</t>
        </r>
      </text>
    </comment>
  </commentList>
</comments>
</file>

<file path=xl/sharedStrings.xml><?xml version="1.0" encoding="utf-8"?>
<sst xmlns="http://schemas.openxmlformats.org/spreadsheetml/2006/main" count="99" uniqueCount="94">
  <si>
    <t>Price</t>
  </si>
  <si>
    <t>M</t>
  </si>
  <si>
    <t>USD</t>
  </si>
  <si>
    <t>SO</t>
  </si>
  <si>
    <t>MC</t>
  </si>
  <si>
    <t>Cash</t>
  </si>
  <si>
    <t>Debt</t>
  </si>
  <si>
    <t>Net Cash</t>
  </si>
  <si>
    <t>EV</t>
  </si>
  <si>
    <t>Current Assets</t>
  </si>
  <si>
    <t>Current liab</t>
  </si>
  <si>
    <t>Net Working capital</t>
  </si>
  <si>
    <t>Other Assets</t>
  </si>
  <si>
    <t>Total Assets</t>
  </si>
  <si>
    <t>Non current liab</t>
  </si>
  <si>
    <t>Total Liabilities</t>
  </si>
  <si>
    <t>Total Equity</t>
  </si>
  <si>
    <t>Book Value</t>
  </si>
  <si>
    <t>Tangible Book Value</t>
  </si>
  <si>
    <t>Goodwill + Intangible</t>
  </si>
  <si>
    <t>Tangible Book Value per share</t>
  </si>
  <si>
    <t>ROE</t>
  </si>
  <si>
    <t>Automobile revenues</t>
  </si>
  <si>
    <t>Energy genenration and storage</t>
  </si>
  <si>
    <t>Service and other</t>
  </si>
  <si>
    <t>Revenues</t>
  </si>
  <si>
    <t>Cost of Revenues</t>
  </si>
  <si>
    <t>Gross Profit</t>
  </si>
  <si>
    <t>R&amp;D</t>
  </si>
  <si>
    <t>SG&amp;A</t>
  </si>
  <si>
    <t>Other</t>
  </si>
  <si>
    <t>Income from Operations</t>
  </si>
  <si>
    <t>Interest Income</t>
  </si>
  <si>
    <t>Other Income</t>
  </si>
  <si>
    <t>Income before Tax</t>
  </si>
  <si>
    <t>Taxes</t>
  </si>
  <si>
    <t>Net Income</t>
  </si>
  <si>
    <t>Q2 2021</t>
  </si>
  <si>
    <t>Q3 2021</t>
  </si>
  <si>
    <t>Q4 2021</t>
  </si>
  <si>
    <t>Q1 2022</t>
  </si>
  <si>
    <t>Q2 2022</t>
  </si>
  <si>
    <t>Book Value valuation</t>
  </si>
  <si>
    <t>Q1 2021</t>
  </si>
  <si>
    <t>Automobile</t>
  </si>
  <si>
    <t>Q1 2020</t>
  </si>
  <si>
    <t>Q2 2020</t>
  </si>
  <si>
    <t>Q3 2020</t>
  </si>
  <si>
    <t>Q4 2020</t>
  </si>
  <si>
    <t>EPS</t>
  </si>
  <si>
    <t>Q3 2022</t>
  </si>
  <si>
    <t>Q4 2022</t>
  </si>
  <si>
    <t>Revenue Grwoth Y/Y</t>
  </si>
  <si>
    <t>Gross Margin %</t>
  </si>
  <si>
    <t>Net Margin %</t>
  </si>
  <si>
    <t>Tax rate</t>
  </si>
  <si>
    <t>SO increase</t>
  </si>
  <si>
    <t>Automobile Y/Y revenues</t>
  </si>
  <si>
    <t>Energy Y/Y revenues</t>
  </si>
  <si>
    <t>Service Y/Y revenues</t>
  </si>
  <si>
    <t>Automobile Y/Y cost</t>
  </si>
  <si>
    <t>Energy Y/Y cost</t>
  </si>
  <si>
    <t>Service Y/Y cost</t>
  </si>
  <si>
    <t>Vendite annuali di auto in milioni</t>
  </si>
  <si>
    <t>COVID</t>
  </si>
  <si>
    <t>Crescita</t>
  </si>
  <si>
    <t xml:space="preserve">Tesla ha il 75% del market share delle vendite delle auto elettriche </t>
  </si>
  <si>
    <t>Assumo un costo medio delle tesla di 50.000 dollari</t>
  </si>
  <si>
    <t>Tesla</t>
  </si>
  <si>
    <t>Ricavo medio per Tesla</t>
  </si>
  <si>
    <t xml:space="preserve">Tesla market share </t>
  </si>
  <si>
    <t>EPS growth Y/Y</t>
  </si>
  <si>
    <t>Discount rate</t>
  </si>
  <si>
    <t>NPV</t>
  </si>
  <si>
    <t>Assumo che il mercato delle auto mondiale cresca dell'1% nel prossimo anno e poi 3%</t>
  </si>
  <si>
    <t>Manufacturer</t>
  </si>
  <si>
    <t>Change</t>
  </si>
  <si>
    <t>2021 share</t>
  </si>
  <si>
    <t>2020 share</t>
  </si>
  <si>
    <t>Toyota Motor Company</t>
  </si>
  <si>
    <t>General Motors</t>
  </si>
  <si>
    <t>Ford Motor Corporation</t>
  </si>
  <si>
    <t>Stellantis</t>
  </si>
  <si>
    <t>Hyundai-Kia</t>
  </si>
  <si>
    <t>Honda</t>
  </si>
  <si>
    <t>Nissan</t>
  </si>
  <si>
    <t>Volkswagen Group</t>
  </si>
  <si>
    <t>Subaru</t>
  </si>
  <si>
    <t>BMW AG</t>
  </si>
  <si>
    <t>Considerando che Toyota ha attualmente il 15,5 % del mercato automobilistico mondiale non è da escludere che entro il 2027 tesla prenda il suo posto</t>
  </si>
  <si>
    <t>Prezzo Attuale</t>
  </si>
  <si>
    <t>Sottovalutata/sopravvalutata</t>
  </si>
  <si>
    <t>Elon Musk vuole raggiungere 20 milioni di consegne nel 2030</t>
  </si>
  <si>
    <t>Non conto Robotaxi, Assicurazioni e altre bellissime cose che Tesla dovrebbe fare nel 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</si>
</sst>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7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444444"/>
      <name val="Times New Roman"/>
      <family val="1"/>
    </font>
    <font>
      <b/>
      <sz val="10"/>
      <color rgb="FF44444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F1F1F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2" fontId="0" fillId="0" borderId="0" xfId="0" applyNumberFormat="1"/>
    <xf numFmtId="0" fontId="2" fillId="0" borderId="0" xfId="0" applyFont="1"/>
    <xf numFmtId="10" fontId="0" fillId="0" borderId="0" xfId="1" applyNumberFormat="1" applyFont="1"/>
    <xf numFmtId="3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3" borderId="0" xfId="0" applyFill="1"/>
    <xf numFmtId="9" fontId="0" fillId="3" borderId="0" xfId="1" applyFont="1" applyFill="1"/>
    <xf numFmtId="0" fontId="0" fillId="4" borderId="0" xfId="0" applyFill="1"/>
    <xf numFmtId="9" fontId="0" fillId="4" borderId="0" xfId="1" applyFont="1" applyFill="1"/>
    <xf numFmtId="0" fontId="0" fillId="5" borderId="0" xfId="0" applyFill="1"/>
    <xf numFmtId="9" fontId="0" fillId="5" borderId="0" xfId="1" applyFont="1" applyFill="1"/>
    <xf numFmtId="9" fontId="0" fillId="5" borderId="0" xfId="0" applyNumberFormat="1" applyFill="1"/>
    <xf numFmtId="9" fontId="0" fillId="4" borderId="0" xfId="0" applyNumberFormat="1" applyFill="1"/>
    <xf numFmtId="9" fontId="0" fillId="3" borderId="0" xfId="0" applyNumberFormat="1" applyFill="1"/>
    <xf numFmtId="0" fontId="0" fillId="0" borderId="0" xfId="0" applyFill="1"/>
    <xf numFmtId="1" fontId="0" fillId="0" borderId="0" xfId="0" applyNumberFormat="1"/>
    <xf numFmtId="167" fontId="0" fillId="0" borderId="0" xfId="1" applyNumberFormat="1" applyFont="1"/>
    <xf numFmtId="9" fontId="0" fillId="6" borderId="0" xfId="0" applyNumberFormat="1" applyFill="1"/>
    <xf numFmtId="0" fontId="5" fillId="7" borderId="1" xfId="0" applyFont="1" applyFill="1" applyBorder="1" applyAlignment="1">
      <alignment vertical="center" wrapText="1"/>
    </xf>
    <xf numFmtId="3" fontId="5" fillId="7" borderId="1" xfId="0" applyNumberFormat="1" applyFont="1" applyFill="1" applyBorder="1" applyAlignment="1">
      <alignment horizontal="right" vertical="center" wrapText="1"/>
    </xf>
    <xf numFmtId="10" fontId="5" fillId="7" borderId="1" xfId="0" applyNumberFormat="1" applyFont="1" applyFill="1" applyBorder="1" applyAlignment="1">
      <alignment horizontal="right" vertical="center" wrapText="1"/>
    </xf>
    <xf numFmtId="0" fontId="6" fillId="7" borderId="2" xfId="0" applyFont="1" applyFill="1" applyBorder="1" applyAlignment="1">
      <alignment vertical="center" wrapText="1"/>
    </xf>
    <xf numFmtId="0" fontId="6" fillId="7" borderId="2" xfId="0" applyFont="1" applyFill="1" applyBorder="1" applyAlignment="1">
      <alignment horizontal="right" vertical="center" wrapText="1"/>
    </xf>
    <xf numFmtId="0" fontId="0" fillId="8" borderId="0" xfId="0" applyFill="1"/>
    <xf numFmtId="2" fontId="0" fillId="8" borderId="0" xfId="0" applyNumberFormat="1" applyFill="1"/>
    <xf numFmtId="8" fontId="0" fillId="8" borderId="0" xfId="0" applyNumberFormat="1" applyFill="1"/>
    <xf numFmtId="9" fontId="0" fillId="8" borderId="0" xfId="1" applyFont="1" applyFill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99060</xdr:colOff>
      <xdr:row>1</xdr:row>
      <xdr:rowOff>7620</xdr:rowOff>
    </xdr:from>
    <xdr:to>
      <xdr:col>12</xdr:col>
      <xdr:colOff>106680</xdr:colOff>
      <xdr:row>25</xdr:row>
      <xdr:rowOff>91440</xdr:rowOff>
    </xdr:to>
    <xdr:cxnSp macro="">
      <xdr:nvCxnSpPr>
        <xdr:cNvPr id="3" name="Connettore 2 2">
          <a:extLst>
            <a:ext uri="{FF2B5EF4-FFF2-40B4-BE49-F238E27FC236}">
              <a16:creationId xmlns:a16="http://schemas.microsoft.com/office/drawing/2014/main" id="{5B6B7CA6-7A9E-98FF-BE01-E6AFDB761B49}"/>
            </a:ext>
          </a:extLst>
        </xdr:cNvPr>
        <xdr:cNvCxnSpPr/>
      </xdr:nvCxnSpPr>
      <xdr:spPr>
        <a:xfrm>
          <a:off x="8755380" y="190500"/>
          <a:ext cx="7620" cy="4472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68580</xdr:colOff>
      <xdr:row>0</xdr:row>
      <xdr:rowOff>121920</xdr:rowOff>
    </xdr:from>
    <xdr:to>
      <xdr:col>19</xdr:col>
      <xdr:colOff>83820</xdr:colOff>
      <xdr:row>27</xdr:row>
      <xdr:rowOff>0</xdr:rowOff>
    </xdr:to>
    <xdr:cxnSp macro="">
      <xdr:nvCxnSpPr>
        <xdr:cNvPr id="5" name="Connettore 2 4">
          <a:extLst>
            <a:ext uri="{FF2B5EF4-FFF2-40B4-BE49-F238E27FC236}">
              <a16:creationId xmlns:a16="http://schemas.microsoft.com/office/drawing/2014/main" id="{ABBB2B8C-7D08-82C4-769A-7A547433B2B9}"/>
            </a:ext>
          </a:extLst>
        </xdr:cNvPr>
        <xdr:cNvCxnSpPr/>
      </xdr:nvCxnSpPr>
      <xdr:spPr>
        <a:xfrm>
          <a:off x="12992100" y="121920"/>
          <a:ext cx="15240" cy="4815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CBBD-1E7F-4BD9-9150-B403A93CA0EA}">
  <dimension ref="A3:I17"/>
  <sheetViews>
    <sheetView workbookViewId="0">
      <selection activeCell="A18" sqref="A18"/>
    </sheetView>
  </sheetViews>
  <sheetFormatPr defaultRowHeight="14.4" x14ac:dyDescent="0.3"/>
  <cols>
    <col min="7" max="7" width="9.44140625" bestFit="1" customWidth="1"/>
    <col min="8" max="8" width="10.5546875" bestFit="1" customWidth="1"/>
  </cols>
  <sheetData>
    <row r="3" spans="1:9" x14ac:dyDescent="0.3">
      <c r="F3" t="s">
        <v>0</v>
      </c>
      <c r="G3">
        <v>818</v>
      </c>
      <c r="H3" s="1">
        <v>44763</v>
      </c>
      <c r="I3" t="s">
        <v>2</v>
      </c>
    </row>
    <row r="4" spans="1:9" x14ac:dyDescent="0.3">
      <c r="F4" t="s">
        <v>3</v>
      </c>
      <c r="G4" s="2">
        <v>1155</v>
      </c>
      <c r="H4" t="s">
        <v>1</v>
      </c>
    </row>
    <row r="5" spans="1:9" x14ac:dyDescent="0.3">
      <c r="F5" t="s">
        <v>4</v>
      </c>
      <c r="G5" s="2">
        <f>G3*G4</f>
        <v>944790</v>
      </c>
    </row>
    <row r="6" spans="1:9" x14ac:dyDescent="0.3">
      <c r="F6" t="s">
        <v>5</v>
      </c>
      <c r="G6" s="2">
        <v>18013</v>
      </c>
    </row>
    <row r="7" spans="1:9" x14ac:dyDescent="0.3">
      <c r="F7" t="s">
        <v>6</v>
      </c>
      <c r="G7" s="2">
        <f>2058+4967</f>
        <v>7025</v>
      </c>
    </row>
    <row r="8" spans="1:9" x14ac:dyDescent="0.3">
      <c r="F8" t="s">
        <v>7</v>
      </c>
      <c r="G8" s="2">
        <f>G6-G7</f>
        <v>10988</v>
      </c>
    </row>
    <row r="9" spans="1:9" x14ac:dyDescent="0.3">
      <c r="F9" s="3" t="s">
        <v>8</v>
      </c>
      <c r="G9" s="4">
        <f>G5-G8</f>
        <v>933802</v>
      </c>
    </row>
    <row r="12" spans="1:9" x14ac:dyDescent="0.3">
      <c r="A12" t="s">
        <v>66</v>
      </c>
    </row>
    <row r="13" spans="1:9" x14ac:dyDescent="0.3">
      <c r="A13" t="s">
        <v>67</v>
      </c>
    </row>
    <row r="14" spans="1:9" x14ac:dyDescent="0.3">
      <c r="A14" t="s">
        <v>74</v>
      </c>
    </row>
    <row r="15" spans="1:9" x14ac:dyDescent="0.3">
      <c r="A15" t="s">
        <v>89</v>
      </c>
    </row>
    <row r="16" spans="1:9" x14ac:dyDescent="0.3">
      <c r="A16" t="s">
        <v>92</v>
      </c>
    </row>
    <row r="17" spans="1:1" x14ac:dyDescent="0.3">
      <c r="A17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B641E-13F5-4B9F-831E-D770D95D637B}">
  <dimension ref="B2:CP36"/>
  <sheetViews>
    <sheetView tabSelected="1" zoomScale="70" zoomScaleNormal="70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W34" sqref="W34"/>
    </sheetView>
  </sheetViews>
  <sheetFormatPr defaultRowHeight="14.4" x14ac:dyDescent="0.3"/>
  <cols>
    <col min="2" max="2" width="26.5546875" customWidth="1"/>
    <col min="3" max="3" width="10.21875" customWidth="1"/>
    <col min="4" max="4" width="10" customWidth="1"/>
    <col min="5" max="5" width="8.6640625" customWidth="1"/>
    <col min="6" max="6" width="8.5546875" customWidth="1"/>
    <col min="28" max="28" width="27.21875" customWidth="1"/>
    <col min="29" max="29" width="11.5546875" bestFit="1" customWidth="1"/>
  </cols>
  <sheetData>
    <row r="2" spans="2:24" x14ac:dyDescent="0.3">
      <c r="C2" t="s">
        <v>45</v>
      </c>
      <c r="D2" t="s">
        <v>46</v>
      </c>
      <c r="E2" t="s">
        <v>47</v>
      </c>
      <c r="F2" t="s">
        <v>48</v>
      </c>
      <c r="G2" t="s">
        <v>43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50</v>
      </c>
      <c r="N2" t="s">
        <v>51</v>
      </c>
      <c r="P2">
        <v>2019</v>
      </c>
      <c r="Q2">
        <v>2020</v>
      </c>
      <c r="R2">
        <v>2021</v>
      </c>
      <c r="S2">
        <v>2022</v>
      </c>
      <c r="T2">
        <v>2023</v>
      </c>
      <c r="U2">
        <v>2024</v>
      </c>
      <c r="V2">
        <v>2025</v>
      </c>
      <c r="W2">
        <v>2026</v>
      </c>
      <c r="X2">
        <v>2027</v>
      </c>
    </row>
    <row r="3" spans="2:24" x14ac:dyDescent="0.3">
      <c r="B3" t="s">
        <v>22</v>
      </c>
      <c r="C3" s="2">
        <v>5132</v>
      </c>
      <c r="D3" s="2">
        <v>5179</v>
      </c>
      <c r="E3" s="2">
        <v>7611</v>
      </c>
      <c r="F3" s="2">
        <f>27236-E3-D3-C3</f>
        <v>9314</v>
      </c>
      <c r="G3">
        <v>9002</v>
      </c>
      <c r="H3" s="2">
        <v>10206</v>
      </c>
      <c r="I3" s="2">
        <v>12057</v>
      </c>
      <c r="J3" s="2">
        <v>15967</v>
      </c>
      <c r="K3" s="2">
        <v>16861</v>
      </c>
      <c r="L3" s="2">
        <v>14602</v>
      </c>
      <c r="M3" s="2">
        <f>I3+I3*M31</f>
        <v>18688.349999999999</v>
      </c>
      <c r="N3" s="2">
        <f>J3+J3*N31</f>
        <v>24908.52</v>
      </c>
      <c r="P3">
        <v>20821</v>
      </c>
      <c r="Q3" s="2">
        <f>SUM(C3:F3)</f>
        <v>27236</v>
      </c>
      <c r="R3">
        <f>SUM(G3:J3)</f>
        <v>47232</v>
      </c>
      <c r="S3" s="2">
        <f>SUM(K3:N3)</f>
        <v>75059.87</v>
      </c>
      <c r="T3" s="2">
        <f>S3+S3*T31</f>
        <v>112589.80499999999</v>
      </c>
      <c r="U3" s="2">
        <f t="shared" ref="U3:X3" si="0">T3+T3*U31</f>
        <v>168884.70749999999</v>
      </c>
      <c r="V3" s="2">
        <f t="shared" si="0"/>
        <v>244882.82587499998</v>
      </c>
      <c r="W3" s="2">
        <f t="shared" si="0"/>
        <v>342835.95622499997</v>
      </c>
      <c r="X3" s="2">
        <f t="shared" si="0"/>
        <v>479970.33871499996</v>
      </c>
    </row>
    <row r="4" spans="2:24" x14ac:dyDescent="0.3">
      <c r="B4" t="s">
        <v>23</v>
      </c>
      <c r="C4" s="2">
        <v>293</v>
      </c>
      <c r="D4" s="2">
        <v>370</v>
      </c>
      <c r="E4" s="2">
        <v>579</v>
      </c>
      <c r="F4" s="2">
        <f>1994-E4-D4-C4</f>
        <v>752</v>
      </c>
      <c r="G4">
        <v>494</v>
      </c>
      <c r="H4" s="2">
        <v>801</v>
      </c>
      <c r="I4" s="2">
        <v>806</v>
      </c>
      <c r="J4" s="2">
        <v>688</v>
      </c>
      <c r="K4" s="2">
        <v>616</v>
      </c>
      <c r="L4" s="2">
        <v>866</v>
      </c>
      <c r="M4" s="2">
        <f>I4+I4*M32</f>
        <v>886.6</v>
      </c>
      <c r="N4" s="2">
        <f>J4+J4*N32</f>
        <v>756.8</v>
      </c>
      <c r="P4">
        <v>1531</v>
      </c>
      <c r="Q4" s="2">
        <f t="shared" ref="Q4:Q5" si="1">SUM(C4:F4)</f>
        <v>1994</v>
      </c>
      <c r="R4">
        <f t="shared" ref="R4:R5" si="2">SUM(G4:J4)</f>
        <v>2789</v>
      </c>
      <c r="S4" s="2">
        <f t="shared" ref="S4:S5" si="3">SUM(K4:N4)</f>
        <v>3125.3999999999996</v>
      </c>
      <c r="T4" s="2">
        <f>S4+S4*T32</f>
        <v>3906.7499999999995</v>
      </c>
      <c r="U4" s="2">
        <f t="shared" ref="U4:X4" si="4">T4+T4*U32</f>
        <v>4883.4374999999991</v>
      </c>
      <c r="V4" s="2">
        <f t="shared" si="4"/>
        <v>6104.2968749999991</v>
      </c>
      <c r="W4" s="2">
        <f t="shared" si="4"/>
        <v>7630.3710937499991</v>
      </c>
      <c r="X4" s="2">
        <f t="shared" si="4"/>
        <v>9537.9638671874982</v>
      </c>
    </row>
    <row r="5" spans="2:24" x14ac:dyDescent="0.3">
      <c r="B5" t="s">
        <v>24</v>
      </c>
      <c r="C5" s="2">
        <v>560</v>
      </c>
      <c r="D5" s="2">
        <v>487</v>
      </c>
      <c r="E5" s="2">
        <v>581</v>
      </c>
      <c r="F5" s="2">
        <f>2306-E5-D5-C5</f>
        <v>678</v>
      </c>
      <c r="G5">
        <v>893</v>
      </c>
      <c r="H5" s="2">
        <v>951</v>
      </c>
      <c r="I5" s="2">
        <v>894</v>
      </c>
      <c r="J5" s="2">
        <v>1064</v>
      </c>
      <c r="K5" s="2">
        <v>1279</v>
      </c>
      <c r="L5" s="2">
        <v>1466</v>
      </c>
      <c r="M5" s="2">
        <f>I5+I5*M33</f>
        <v>1341</v>
      </c>
      <c r="N5" s="2">
        <f>J5+J5*N33</f>
        <v>1596</v>
      </c>
      <c r="P5">
        <v>2226</v>
      </c>
      <c r="Q5" s="2">
        <f t="shared" si="1"/>
        <v>2306</v>
      </c>
      <c r="R5">
        <f t="shared" si="2"/>
        <v>3802</v>
      </c>
      <c r="S5" s="2">
        <f t="shared" si="3"/>
        <v>5682</v>
      </c>
      <c r="T5" s="2">
        <f>S5+S5*T33</f>
        <v>9091.2000000000007</v>
      </c>
      <c r="U5" s="2">
        <f t="shared" ref="U5:X5" si="5">T5+T5*U33</f>
        <v>14545.920000000002</v>
      </c>
      <c r="V5" s="2">
        <f t="shared" si="5"/>
        <v>23273.472000000002</v>
      </c>
      <c r="W5" s="2">
        <f t="shared" si="5"/>
        <v>37237.555200000003</v>
      </c>
      <c r="X5" s="2">
        <f t="shared" si="5"/>
        <v>59580.088320000003</v>
      </c>
    </row>
    <row r="6" spans="2:24" x14ac:dyDescent="0.3">
      <c r="B6" s="6" t="s">
        <v>25</v>
      </c>
      <c r="C6" s="8">
        <f t="shared" ref="C6:I6" si="6">C3+C5+C4</f>
        <v>5985</v>
      </c>
      <c r="D6" s="8">
        <f t="shared" si="6"/>
        <v>6036</v>
      </c>
      <c r="E6" s="8">
        <f t="shared" si="6"/>
        <v>8771</v>
      </c>
      <c r="F6" s="8">
        <f t="shared" si="6"/>
        <v>10744</v>
      </c>
      <c r="G6" s="8">
        <f t="shared" si="6"/>
        <v>10389</v>
      </c>
      <c r="H6" s="8">
        <f t="shared" si="6"/>
        <v>11958</v>
      </c>
      <c r="I6" s="8">
        <f t="shared" si="6"/>
        <v>13757</v>
      </c>
      <c r="J6" s="8">
        <f t="shared" ref="J6:N6" si="7">J3+J5+J4</f>
        <v>17719</v>
      </c>
      <c r="K6" s="8">
        <f t="shared" si="7"/>
        <v>18756</v>
      </c>
      <c r="L6" s="8">
        <f t="shared" si="7"/>
        <v>16934</v>
      </c>
      <c r="M6" s="8">
        <f t="shared" si="7"/>
        <v>20915.949999999997</v>
      </c>
      <c r="N6" s="8">
        <f t="shared" si="7"/>
        <v>27261.32</v>
      </c>
      <c r="P6" s="8">
        <f>P3+P4+P5</f>
        <v>24578</v>
      </c>
      <c r="Q6" s="8">
        <f>Q3+Q4+Q5</f>
        <v>31536</v>
      </c>
      <c r="R6" s="8">
        <f>R3+R4+R5</f>
        <v>53823</v>
      </c>
      <c r="S6" s="8">
        <f>S3+S4+S5</f>
        <v>83867.26999999999</v>
      </c>
      <c r="T6" s="8">
        <f t="shared" ref="T6:X6" si="8">T3+T4+T5</f>
        <v>125587.75499999999</v>
      </c>
      <c r="U6" s="8">
        <f t="shared" si="8"/>
        <v>188314.065</v>
      </c>
      <c r="V6" s="8">
        <f t="shared" si="8"/>
        <v>274260.59474999999</v>
      </c>
      <c r="W6" s="8">
        <f t="shared" si="8"/>
        <v>387703.88251874998</v>
      </c>
      <c r="X6" s="8">
        <f t="shared" si="8"/>
        <v>549088.39090218744</v>
      </c>
    </row>
    <row r="7" spans="2:24" x14ac:dyDescent="0.3">
      <c r="B7" t="s">
        <v>44</v>
      </c>
      <c r="C7" s="2">
        <v>3821</v>
      </c>
      <c r="D7" s="2">
        <v>3862</v>
      </c>
      <c r="E7" s="2">
        <v>5506</v>
      </c>
      <c r="F7" s="2">
        <f>20259-E7-D7-C7</f>
        <v>7070</v>
      </c>
      <c r="G7">
        <v>6617</v>
      </c>
      <c r="H7" s="2">
        <v>7307</v>
      </c>
      <c r="I7" s="2">
        <v>8384</v>
      </c>
      <c r="J7" s="2">
        <v>11085</v>
      </c>
      <c r="K7" s="2">
        <v>11322</v>
      </c>
      <c r="L7" s="2">
        <v>10521</v>
      </c>
      <c r="M7" s="2">
        <f>I7+I7*M34</f>
        <v>12995.2</v>
      </c>
      <c r="N7" s="2">
        <f>J7+J7*N34</f>
        <v>17181.75</v>
      </c>
      <c r="P7">
        <v>16398</v>
      </c>
      <c r="Q7" s="2">
        <f>SUM(C7:F7)</f>
        <v>20259</v>
      </c>
      <c r="R7">
        <f>SUM(G7:J7)</f>
        <v>33393</v>
      </c>
      <c r="S7" s="2">
        <f>SUM(K7:N7)</f>
        <v>52019.95</v>
      </c>
    </row>
    <row r="8" spans="2:24" x14ac:dyDescent="0.3">
      <c r="B8" t="s">
        <v>23</v>
      </c>
      <c r="C8" s="2">
        <v>282</v>
      </c>
      <c r="D8" s="2">
        <v>349</v>
      </c>
      <c r="E8" s="2">
        <v>558</v>
      </c>
      <c r="F8" s="2">
        <f>1976-E8-D8-C8</f>
        <v>787</v>
      </c>
      <c r="G8">
        <v>595</v>
      </c>
      <c r="H8" s="2">
        <v>781</v>
      </c>
      <c r="I8" s="2">
        <v>803</v>
      </c>
      <c r="J8" s="2">
        <v>739</v>
      </c>
      <c r="K8" s="2">
        <v>688</v>
      </c>
      <c r="L8" s="2">
        <v>769</v>
      </c>
      <c r="M8" s="2">
        <f t="shared" ref="M8:N8" si="9">I8+I8*M35</f>
        <v>843.15</v>
      </c>
      <c r="N8" s="2">
        <f t="shared" si="9"/>
        <v>775.95</v>
      </c>
      <c r="P8">
        <v>1341</v>
      </c>
      <c r="Q8" s="2">
        <f t="shared" ref="Q8:Q9" si="10">SUM(C8:F8)</f>
        <v>1976</v>
      </c>
      <c r="R8">
        <f t="shared" ref="R8:R9" si="11">SUM(G8:J8)</f>
        <v>2918</v>
      </c>
      <c r="S8" s="2">
        <f t="shared" ref="S8:S9" si="12">SUM(K8:N8)</f>
        <v>3076.1000000000004</v>
      </c>
    </row>
    <row r="9" spans="2:24" x14ac:dyDescent="0.3">
      <c r="B9" t="s">
        <v>24</v>
      </c>
      <c r="C9" s="2">
        <v>648</v>
      </c>
      <c r="D9" s="2">
        <v>558</v>
      </c>
      <c r="E9" s="2">
        <v>644</v>
      </c>
      <c r="F9" s="2">
        <f>2671-E9-D9-C9</f>
        <v>821</v>
      </c>
      <c r="G9">
        <v>962</v>
      </c>
      <c r="H9" s="2">
        <v>986</v>
      </c>
      <c r="I9" s="2">
        <v>910</v>
      </c>
      <c r="J9" s="2">
        <v>1048</v>
      </c>
      <c r="K9" s="2">
        <v>1286</v>
      </c>
      <c r="L9" s="2">
        <v>1410</v>
      </c>
      <c r="M9" s="2">
        <f t="shared" ref="M9:N9" si="13">I9+I9*M36</f>
        <v>1274</v>
      </c>
      <c r="N9" s="2">
        <f t="shared" si="13"/>
        <v>1467.2</v>
      </c>
      <c r="P9">
        <v>2770</v>
      </c>
      <c r="Q9" s="2">
        <f t="shared" si="10"/>
        <v>2671</v>
      </c>
      <c r="R9">
        <f t="shared" si="11"/>
        <v>3906</v>
      </c>
      <c r="S9" s="2">
        <f t="shared" si="12"/>
        <v>5437.2</v>
      </c>
    </row>
    <row r="10" spans="2:24" x14ac:dyDescent="0.3">
      <c r="B10" s="6" t="s">
        <v>26</v>
      </c>
      <c r="C10" s="8">
        <f t="shared" ref="C10:I10" si="14">C7+C8+C9</f>
        <v>4751</v>
      </c>
      <c r="D10" s="8">
        <f t="shared" si="14"/>
        <v>4769</v>
      </c>
      <c r="E10" s="8">
        <f t="shared" si="14"/>
        <v>6708</v>
      </c>
      <c r="F10" s="8">
        <f t="shared" si="14"/>
        <v>8678</v>
      </c>
      <c r="G10" s="8">
        <f t="shared" si="14"/>
        <v>8174</v>
      </c>
      <c r="H10" s="8">
        <f t="shared" si="14"/>
        <v>9074</v>
      </c>
      <c r="I10" s="8">
        <f t="shared" si="14"/>
        <v>10097</v>
      </c>
      <c r="J10" s="8">
        <f t="shared" ref="J10:L10" si="15">J7+J8+J9</f>
        <v>12872</v>
      </c>
      <c r="K10" s="8">
        <f t="shared" si="15"/>
        <v>13296</v>
      </c>
      <c r="L10" s="8">
        <f t="shared" si="15"/>
        <v>12700</v>
      </c>
      <c r="M10" s="8">
        <f t="shared" ref="M10:N10" si="16">M7+M8+M9</f>
        <v>15112.35</v>
      </c>
      <c r="N10" s="8">
        <f t="shared" si="16"/>
        <v>19424.900000000001</v>
      </c>
      <c r="P10" s="8">
        <f>P7+P8+P9</f>
        <v>20509</v>
      </c>
      <c r="Q10" s="8">
        <f>Q7+Q8+Q9</f>
        <v>24906</v>
      </c>
      <c r="R10" s="8">
        <f>R7+R8+R9</f>
        <v>40217</v>
      </c>
      <c r="S10" s="8">
        <f>S7+S8+S9</f>
        <v>60533.249999999993</v>
      </c>
      <c r="T10" s="8"/>
    </row>
    <row r="11" spans="2:24" x14ac:dyDescent="0.3">
      <c r="B11" s="6" t="s">
        <v>27</v>
      </c>
      <c r="C11" s="8">
        <f t="shared" ref="C11:F11" si="17">C6-C10</f>
        <v>1234</v>
      </c>
      <c r="D11" s="8">
        <f t="shared" si="17"/>
        <v>1267</v>
      </c>
      <c r="E11" s="8">
        <f t="shared" si="17"/>
        <v>2063</v>
      </c>
      <c r="F11" s="8">
        <f t="shared" si="17"/>
        <v>2066</v>
      </c>
      <c r="G11" s="8">
        <f>G6-G10</f>
        <v>2215</v>
      </c>
      <c r="H11" s="8">
        <f>H6-H10</f>
        <v>2884</v>
      </c>
      <c r="I11" s="8">
        <f>I6-I10</f>
        <v>3660</v>
      </c>
      <c r="J11" s="8">
        <f t="shared" ref="J11:L11" si="18">J6-J10</f>
        <v>4847</v>
      </c>
      <c r="K11" s="8">
        <f t="shared" si="18"/>
        <v>5460</v>
      </c>
      <c r="L11" s="8">
        <f t="shared" si="18"/>
        <v>4234</v>
      </c>
      <c r="M11" s="8">
        <f t="shared" ref="M11:N11" si="19">M6-M10</f>
        <v>5803.5999999999967</v>
      </c>
      <c r="N11" s="8">
        <f t="shared" si="19"/>
        <v>7836.4199999999983</v>
      </c>
      <c r="P11" s="8">
        <f>P6-P10</f>
        <v>4069</v>
      </c>
      <c r="Q11" s="8">
        <f>Q6-Q10</f>
        <v>6630</v>
      </c>
      <c r="R11" s="8">
        <f>R6-R10</f>
        <v>13606</v>
      </c>
      <c r="S11" s="8">
        <f>S6-S10</f>
        <v>23334.019999999997</v>
      </c>
      <c r="T11" s="8">
        <f>T6*T25</f>
        <v>37676.326499999996</v>
      </c>
      <c r="U11" s="8">
        <f t="shared" ref="U11:X11" si="20">U6*U25</f>
        <v>56494.219499999999</v>
      </c>
      <c r="V11" s="8">
        <f t="shared" si="20"/>
        <v>82278.178424999991</v>
      </c>
      <c r="W11" s="8">
        <f t="shared" si="20"/>
        <v>116311.164755625</v>
      </c>
      <c r="X11" s="8">
        <f t="shared" si="20"/>
        <v>164726.51727065622</v>
      </c>
    </row>
    <row r="12" spans="2:24" x14ac:dyDescent="0.3">
      <c r="B12" t="s">
        <v>28</v>
      </c>
      <c r="C12" s="2">
        <v>324</v>
      </c>
      <c r="D12" s="2">
        <v>279</v>
      </c>
      <c r="E12" s="2">
        <v>366</v>
      </c>
      <c r="F12" s="2">
        <f>1491-E12-D12-C12</f>
        <v>522</v>
      </c>
      <c r="G12">
        <v>666</v>
      </c>
      <c r="H12" s="2">
        <v>576</v>
      </c>
      <c r="I12" s="2">
        <v>611</v>
      </c>
      <c r="J12" s="2">
        <v>740</v>
      </c>
      <c r="K12" s="2">
        <v>865</v>
      </c>
      <c r="L12" s="2">
        <v>667</v>
      </c>
      <c r="M12" s="2">
        <f>I12*1.1</f>
        <v>672.1</v>
      </c>
      <c r="N12" s="2">
        <f>J12*1.1</f>
        <v>814.00000000000011</v>
      </c>
      <c r="P12">
        <v>1343</v>
      </c>
      <c r="Q12" s="2">
        <f>SUM(C12:F12)</f>
        <v>1491</v>
      </c>
      <c r="R12">
        <f>SUM(G12:J12)</f>
        <v>2593</v>
      </c>
      <c r="S12" s="2">
        <f>SUM(K12:N12)</f>
        <v>3018.1</v>
      </c>
    </row>
    <row r="13" spans="2:24" x14ac:dyDescent="0.3">
      <c r="B13" t="s">
        <v>29</v>
      </c>
      <c r="C13" s="2">
        <v>627</v>
      </c>
      <c r="D13" s="2">
        <v>661</v>
      </c>
      <c r="E13" s="2">
        <v>888</v>
      </c>
      <c r="F13" s="2">
        <f>3145-E13-D13-C13</f>
        <v>969</v>
      </c>
      <c r="G13">
        <v>1056</v>
      </c>
      <c r="H13" s="2">
        <v>973</v>
      </c>
      <c r="I13" s="2">
        <v>994</v>
      </c>
      <c r="J13" s="2">
        <v>1494</v>
      </c>
      <c r="K13" s="2">
        <v>992</v>
      </c>
      <c r="L13" s="2">
        <v>961</v>
      </c>
      <c r="M13" s="2">
        <f t="shared" ref="M13:M14" si="21">I13*1.1</f>
        <v>1093.4000000000001</v>
      </c>
      <c r="N13" s="2">
        <f t="shared" ref="N13:N14" si="22">J13*1.1</f>
        <v>1643.4</v>
      </c>
      <c r="P13">
        <v>2646</v>
      </c>
      <c r="Q13" s="2">
        <f t="shared" ref="Q13:Q14" si="23">SUM(C13:F13)</f>
        <v>3145</v>
      </c>
      <c r="R13">
        <f t="shared" ref="R13:R14" si="24">SUM(G13:J13)</f>
        <v>4517</v>
      </c>
      <c r="S13" s="2">
        <f>SUM(K13:N13)</f>
        <v>4689.8</v>
      </c>
    </row>
    <row r="14" spans="2:24" x14ac:dyDescent="0.3">
      <c r="B14" t="s">
        <v>30</v>
      </c>
      <c r="C14" s="2">
        <v>0</v>
      </c>
      <c r="D14" s="2">
        <v>0</v>
      </c>
      <c r="E14" s="2">
        <v>0</v>
      </c>
      <c r="F14" s="2">
        <v>0</v>
      </c>
      <c r="G14">
        <v>-101</v>
      </c>
      <c r="H14" s="2">
        <v>23</v>
      </c>
      <c r="I14" s="2">
        <v>51</v>
      </c>
      <c r="J14" s="2">
        <v>0</v>
      </c>
      <c r="K14" s="2">
        <v>0</v>
      </c>
      <c r="L14" s="2">
        <v>142</v>
      </c>
      <c r="M14" s="2">
        <f t="shared" si="21"/>
        <v>56.1</v>
      </c>
      <c r="N14" s="2">
        <f t="shared" si="22"/>
        <v>0</v>
      </c>
      <c r="P14">
        <v>149</v>
      </c>
      <c r="Q14" s="2">
        <f t="shared" si="23"/>
        <v>0</v>
      </c>
      <c r="R14">
        <f t="shared" si="24"/>
        <v>-27</v>
      </c>
      <c r="S14" s="2">
        <f>SUM(K14:N14)</f>
        <v>198.1</v>
      </c>
    </row>
    <row r="15" spans="2:24" x14ac:dyDescent="0.3">
      <c r="B15" t="s">
        <v>31</v>
      </c>
      <c r="C15" s="2">
        <f t="shared" ref="C15:S15" si="25">C11-C12-C13-C14</f>
        <v>283</v>
      </c>
      <c r="D15" s="2">
        <f t="shared" si="25"/>
        <v>327</v>
      </c>
      <c r="E15" s="2">
        <f t="shared" si="25"/>
        <v>809</v>
      </c>
      <c r="F15" s="2">
        <f t="shared" si="25"/>
        <v>575</v>
      </c>
      <c r="G15" s="2">
        <f t="shared" si="25"/>
        <v>594</v>
      </c>
      <c r="H15" s="2">
        <f t="shared" si="25"/>
        <v>1312</v>
      </c>
      <c r="I15" s="2">
        <f t="shared" si="25"/>
        <v>2004</v>
      </c>
      <c r="J15" s="2">
        <f t="shared" si="25"/>
        <v>2613</v>
      </c>
      <c r="K15" s="2">
        <f t="shared" si="25"/>
        <v>3603</v>
      </c>
      <c r="L15" s="2">
        <f t="shared" si="25"/>
        <v>2464</v>
      </c>
      <c r="M15" s="2">
        <f t="shared" si="25"/>
        <v>3981.9999999999964</v>
      </c>
      <c r="N15" s="2">
        <f t="shared" si="25"/>
        <v>5379.0199999999986</v>
      </c>
      <c r="P15" s="2">
        <f t="shared" si="25"/>
        <v>-69</v>
      </c>
      <c r="Q15" s="2">
        <f t="shared" si="25"/>
        <v>1994</v>
      </c>
      <c r="R15" s="2">
        <f t="shared" si="25"/>
        <v>6523</v>
      </c>
      <c r="S15" s="2">
        <f t="shared" si="25"/>
        <v>15428.019999999999</v>
      </c>
    </row>
    <row r="16" spans="2:24" x14ac:dyDescent="0.3">
      <c r="B16" t="s">
        <v>32</v>
      </c>
      <c r="C16" s="2">
        <f>10-169</f>
        <v>-159</v>
      </c>
      <c r="D16" s="2">
        <f>8-170</f>
        <v>-162</v>
      </c>
      <c r="E16" s="2">
        <f>6-163</f>
        <v>-157</v>
      </c>
      <c r="F16" s="2">
        <f>30-748-E16-D16-C16</f>
        <v>-240</v>
      </c>
      <c r="G16">
        <f>10-99</f>
        <v>-89</v>
      </c>
      <c r="H16" s="2">
        <f>11-75</f>
        <v>-64</v>
      </c>
      <c r="I16" s="2">
        <f>10-126</f>
        <v>-116</v>
      </c>
      <c r="J16" s="2">
        <f>25-71</f>
        <v>-46</v>
      </c>
      <c r="K16" s="2">
        <f>28-61</f>
        <v>-33</v>
      </c>
      <c r="L16" s="2">
        <f>26-44</f>
        <v>-18</v>
      </c>
      <c r="M16" s="2">
        <f t="shared" ref="M16:N16" si="26">26-44</f>
        <v>-18</v>
      </c>
      <c r="N16" s="2">
        <f t="shared" si="26"/>
        <v>-18</v>
      </c>
      <c r="P16">
        <f>44-685</f>
        <v>-641</v>
      </c>
      <c r="Q16" s="2">
        <f>SUM(C16:F16)</f>
        <v>-718</v>
      </c>
      <c r="R16">
        <f>SUM(G16:J16)</f>
        <v>-315</v>
      </c>
      <c r="S16" s="2">
        <f>SUM(K16:N16)</f>
        <v>-87</v>
      </c>
    </row>
    <row r="17" spans="2:94" x14ac:dyDescent="0.3">
      <c r="B17" t="s">
        <v>33</v>
      </c>
      <c r="C17" s="2">
        <v>-54</v>
      </c>
      <c r="D17" s="2">
        <v>-15</v>
      </c>
      <c r="E17" s="2">
        <v>-97</v>
      </c>
      <c r="F17" s="2">
        <f>-122-E17-D17-C17</f>
        <v>44</v>
      </c>
      <c r="G17">
        <v>28</v>
      </c>
      <c r="H17" s="2">
        <v>45</v>
      </c>
      <c r="I17" s="2">
        <v>-6</v>
      </c>
      <c r="J17" s="2">
        <v>68</v>
      </c>
      <c r="K17" s="2">
        <v>56</v>
      </c>
      <c r="L17" s="2">
        <v>28</v>
      </c>
      <c r="M17" s="2">
        <v>0</v>
      </c>
      <c r="N17" s="2">
        <v>0</v>
      </c>
      <c r="P17" s="2">
        <v>45</v>
      </c>
      <c r="Q17" s="2">
        <f>SUM(C17:F17)</f>
        <v>-122</v>
      </c>
      <c r="R17">
        <f>SUM(G17:J17)</f>
        <v>135</v>
      </c>
      <c r="S17" s="2">
        <f>SUM(K17:N17)</f>
        <v>84</v>
      </c>
    </row>
    <row r="18" spans="2:94" x14ac:dyDescent="0.3">
      <c r="B18" t="s">
        <v>34</v>
      </c>
      <c r="C18" s="2">
        <f t="shared" ref="C18:I18" si="27">C15+C16+C17</f>
        <v>70</v>
      </c>
      <c r="D18" s="2">
        <f t="shared" si="27"/>
        <v>150</v>
      </c>
      <c r="E18" s="2">
        <f t="shared" si="27"/>
        <v>555</v>
      </c>
      <c r="F18" s="2">
        <f t="shared" si="27"/>
        <v>379</v>
      </c>
      <c r="G18" s="2">
        <f t="shared" si="27"/>
        <v>533</v>
      </c>
      <c r="H18" s="2">
        <f t="shared" si="27"/>
        <v>1293</v>
      </c>
      <c r="I18" s="2">
        <f t="shared" si="27"/>
        <v>1882</v>
      </c>
      <c r="J18" s="2">
        <f t="shared" ref="J18:S18" si="28">J15+J16+J17</f>
        <v>2635</v>
      </c>
      <c r="K18" s="2">
        <f t="shared" si="28"/>
        <v>3626</v>
      </c>
      <c r="L18" s="2">
        <f t="shared" si="28"/>
        <v>2474</v>
      </c>
      <c r="M18" s="2">
        <f t="shared" si="28"/>
        <v>3963.9999999999964</v>
      </c>
      <c r="N18" s="2">
        <f t="shared" si="28"/>
        <v>5361.0199999999986</v>
      </c>
      <c r="P18" s="2">
        <f t="shared" si="28"/>
        <v>-665</v>
      </c>
      <c r="Q18" s="2">
        <f t="shared" si="28"/>
        <v>1154</v>
      </c>
      <c r="R18" s="2">
        <f t="shared" si="28"/>
        <v>6343</v>
      </c>
      <c r="S18" s="2">
        <f t="shared" si="28"/>
        <v>15425.019999999999</v>
      </c>
    </row>
    <row r="19" spans="2:94" x14ac:dyDescent="0.3">
      <c r="B19" t="s">
        <v>35</v>
      </c>
      <c r="C19" s="2">
        <v>2</v>
      </c>
      <c r="D19" s="2">
        <v>21</v>
      </c>
      <c r="E19" s="2">
        <v>186</v>
      </c>
      <c r="F19" s="2">
        <f>292-E19-D19-C19</f>
        <v>83</v>
      </c>
      <c r="G19">
        <v>69</v>
      </c>
      <c r="H19" s="2">
        <v>115</v>
      </c>
      <c r="I19" s="2">
        <v>223</v>
      </c>
      <c r="J19" s="2">
        <v>292</v>
      </c>
      <c r="K19" s="2">
        <v>346</v>
      </c>
      <c r="L19" s="2">
        <v>205</v>
      </c>
      <c r="M19" s="2">
        <f>M18*M27</f>
        <v>436.03999999999962</v>
      </c>
      <c r="N19" s="2">
        <f>N18*N27</f>
        <v>589.71219999999983</v>
      </c>
      <c r="P19">
        <v>110</v>
      </c>
      <c r="Q19" s="2">
        <f>SUM(C19:F19)</f>
        <v>292</v>
      </c>
      <c r="R19">
        <f>SUM(G19:J19)</f>
        <v>699</v>
      </c>
      <c r="S19" s="2">
        <f>SUM(K19:N19)</f>
        <v>1576.7521999999994</v>
      </c>
      <c r="Y19">
        <v>2028</v>
      </c>
      <c r="Z19">
        <v>2029</v>
      </c>
      <c r="AA19">
        <v>2030</v>
      </c>
      <c r="AB19">
        <v>2031</v>
      </c>
      <c r="AC19">
        <v>2032</v>
      </c>
    </row>
    <row r="20" spans="2:94" x14ac:dyDescent="0.3">
      <c r="B20" t="s">
        <v>36</v>
      </c>
      <c r="C20" s="2">
        <f t="shared" ref="C20:S20" si="29">C18-C19</f>
        <v>68</v>
      </c>
      <c r="D20" s="2">
        <f t="shared" si="29"/>
        <v>129</v>
      </c>
      <c r="E20" s="2">
        <f t="shared" si="29"/>
        <v>369</v>
      </c>
      <c r="F20" s="2">
        <f>F18-F19</f>
        <v>296</v>
      </c>
      <c r="G20" s="2">
        <f t="shared" si="29"/>
        <v>464</v>
      </c>
      <c r="H20" s="2">
        <f t="shared" si="29"/>
        <v>1178</v>
      </c>
      <c r="I20" s="2">
        <f t="shared" si="29"/>
        <v>1659</v>
      </c>
      <c r="J20" s="2">
        <f t="shared" si="29"/>
        <v>2343</v>
      </c>
      <c r="K20" s="2">
        <f t="shared" si="29"/>
        <v>3280</v>
      </c>
      <c r="L20" s="2">
        <f t="shared" si="29"/>
        <v>2269</v>
      </c>
      <c r="M20" s="2">
        <f t="shared" si="29"/>
        <v>3527.9599999999969</v>
      </c>
      <c r="N20" s="2">
        <f t="shared" si="29"/>
        <v>4771.3077999999987</v>
      </c>
      <c r="P20" s="2">
        <f t="shared" si="29"/>
        <v>-775</v>
      </c>
      <c r="Q20" s="2">
        <f t="shared" si="29"/>
        <v>862</v>
      </c>
      <c r="R20" s="2">
        <f t="shared" si="29"/>
        <v>5644</v>
      </c>
      <c r="S20" s="2">
        <f t="shared" si="29"/>
        <v>13848.2678</v>
      </c>
      <c r="T20" s="2">
        <f>T6*T26</f>
        <v>21349.91835</v>
      </c>
      <c r="U20" s="2">
        <f t="shared" ref="U20:X20" si="30">U6*U26</f>
        <v>33896.5317</v>
      </c>
      <c r="V20" s="2">
        <f t="shared" si="30"/>
        <v>52109.513002499996</v>
      </c>
      <c r="W20" s="2">
        <f t="shared" si="30"/>
        <v>73663.737678562495</v>
      </c>
      <c r="X20" s="2">
        <f t="shared" si="30"/>
        <v>109817.67818043749</v>
      </c>
    </row>
    <row r="21" spans="2:94" x14ac:dyDescent="0.3">
      <c r="B21" t="s">
        <v>49</v>
      </c>
      <c r="C21">
        <v>0.08</v>
      </c>
      <c r="D21">
        <v>0.1</v>
      </c>
      <c r="E21">
        <f>0.27</f>
        <v>0.27</v>
      </c>
      <c r="F21">
        <f>0.64-E21-D21-C21</f>
        <v>0.19</v>
      </c>
      <c r="G21">
        <v>0.39</v>
      </c>
      <c r="H21">
        <v>1.02</v>
      </c>
      <c r="I21">
        <v>1.44</v>
      </c>
      <c r="J21">
        <v>2.0499999999999998</v>
      </c>
      <c r="K21">
        <v>2.86</v>
      </c>
      <c r="L21">
        <v>1.95</v>
      </c>
      <c r="M21" s="5">
        <f>M20/M22</f>
        <v>3.0190403655750164</v>
      </c>
      <c r="N21" s="5">
        <f>N20/N22</f>
        <v>4.0426051744549918</v>
      </c>
      <c r="P21">
        <v>-0.98</v>
      </c>
      <c r="Q21">
        <f>SUM(C21:F21)</f>
        <v>0.64</v>
      </c>
      <c r="R21">
        <f>SUM(G21:J21)</f>
        <v>4.9000000000000004</v>
      </c>
      <c r="S21" s="2">
        <f>SUM(K21:N21)</f>
        <v>11.871645540030009</v>
      </c>
      <c r="T21">
        <f>T20/T22</f>
        <v>18.243217232356319</v>
      </c>
      <c r="U21">
        <f>U20/U22</f>
        <v>28.677355538186877</v>
      </c>
      <c r="V21">
        <f t="shared" ref="V21:X21" si="31">V20/V22</f>
        <v>43.649520570781327</v>
      </c>
      <c r="W21">
        <f t="shared" si="31"/>
        <v>61.093476727926848</v>
      </c>
      <c r="X21">
        <f t="shared" si="31"/>
        <v>90.176208940350563</v>
      </c>
      <c r="Y21">
        <f>X21*1.2</f>
        <v>108.21145072842067</v>
      </c>
      <c r="Z21">
        <f t="shared" ref="Z21:AC21" si="32">Y21*1.2</f>
        <v>129.8537408741048</v>
      </c>
      <c r="AA21">
        <f t="shared" si="32"/>
        <v>155.82448904892576</v>
      </c>
      <c r="AB21">
        <f t="shared" si="32"/>
        <v>186.9893868587109</v>
      </c>
      <c r="AC21">
        <f t="shared" si="32"/>
        <v>224.38726423045307</v>
      </c>
      <c r="AD21">
        <f>AC21*1.05</f>
        <v>235.60662744197575</v>
      </c>
      <c r="AE21">
        <f t="shared" ref="AE21:AV22" si="33">AD21*1.05</f>
        <v>247.38695881407455</v>
      </c>
      <c r="AF21">
        <f t="shared" si="33"/>
        <v>259.75630675477828</v>
      </c>
      <c r="AG21">
        <f t="shared" si="33"/>
        <v>272.74412209251722</v>
      </c>
      <c r="AH21">
        <f t="shared" si="33"/>
        <v>286.38132819714309</v>
      </c>
      <c r="AI21">
        <f>AH21</f>
        <v>286.38132819714309</v>
      </c>
      <c r="AJ21">
        <f t="shared" ref="AJ21:CP21" si="34">AI21</f>
        <v>286.38132819714309</v>
      </c>
      <c r="AK21">
        <f t="shared" si="34"/>
        <v>286.38132819714309</v>
      </c>
      <c r="AL21">
        <f t="shared" si="34"/>
        <v>286.38132819714309</v>
      </c>
      <c r="AM21">
        <f t="shared" si="34"/>
        <v>286.38132819714309</v>
      </c>
      <c r="AN21">
        <f t="shared" si="34"/>
        <v>286.38132819714309</v>
      </c>
      <c r="AO21">
        <f t="shared" si="34"/>
        <v>286.38132819714309</v>
      </c>
      <c r="AP21">
        <f t="shared" si="34"/>
        <v>286.38132819714309</v>
      </c>
      <c r="AQ21">
        <f t="shared" si="34"/>
        <v>286.38132819714309</v>
      </c>
      <c r="AR21">
        <f t="shared" si="34"/>
        <v>286.38132819714309</v>
      </c>
      <c r="AS21">
        <f t="shared" si="34"/>
        <v>286.38132819714309</v>
      </c>
      <c r="AT21">
        <f t="shared" si="34"/>
        <v>286.38132819714309</v>
      </c>
      <c r="AU21">
        <f t="shared" si="34"/>
        <v>286.38132819714309</v>
      </c>
      <c r="AV21">
        <f t="shared" si="34"/>
        <v>286.38132819714309</v>
      </c>
      <c r="AW21">
        <f t="shared" si="34"/>
        <v>286.38132819714309</v>
      </c>
      <c r="AX21">
        <f t="shared" si="34"/>
        <v>286.38132819714309</v>
      </c>
      <c r="AY21">
        <f t="shared" si="34"/>
        <v>286.38132819714309</v>
      </c>
      <c r="AZ21">
        <f t="shared" si="34"/>
        <v>286.38132819714309</v>
      </c>
      <c r="BA21">
        <f t="shared" si="34"/>
        <v>286.38132819714309</v>
      </c>
      <c r="BB21">
        <f t="shared" si="34"/>
        <v>286.38132819714309</v>
      </c>
      <c r="BC21">
        <f t="shared" si="34"/>
        <v>286.38132819714309</v>
      </c>
      <c r="BD21">
        <f t="shared" si="34"/>
        <v>286.38132819714309</v>
      </c>
      <c r="BE21">
        <f t="shared" si="34"/>
        <v>286.38132819714309</v>
      </c>
      <c r="BF21">
        <f t="shared" si="34"/>
        <v>286.38132819714309</v>
      </c>
      <c r="BG21">
        <f t="shared" si="34"/>
        <v>286.38132819714309</v>
      </c>
      <c r="BH21">
        <f t="shared" si="34"/>
        <v>286.38132819714309</v>
      </c>
      <c r="BI21">
        <f t="shared" si="34"/>
        <v>286.38132819714309</v>
      </c>
      <c r="BJ21">
        <f t="shared" si="34"/>
        <v>286.38132819714309</v>
      </c>
      <c r="BK21">
        <f t="shared" si="34"/>
        <v>286.38132819714309</v>
      </c>
      <c r="BL21">
        <f t="shared" si="34"/>
        <v>286.38132819714309</v>
      </c>
      <c r="BM21">
        <f t="shared" si="34"/>
        <v>286.38132819714309</v>
      </c>
      <c r="BN21">
        <f t="shared" si="34"/>
        <v>286.38132819714309</v>
      </c>
      <c r="BO21">
        <f t="shared" si="34"/>
        <v>286.38132819714309</v>
      </c>
      <c r="BP21">
        <f t="shared" si="34"/>
        <v>286.38132819714309</v>
      </c>
      <c r="BQ21">
        <f t="shared" si="34"/>
        <v>286.38132819714309</v>
      </c>
      <c r="BR21">
        <f t="shared" si="34"/>
        <v>286.38132819714309</v>
      </c>
      <c r="BS21">
        <f t="shared" si="34"/>
        <v>286.38132819714309</v>
      </c>
      <c r="BT21">
        <f t="shared" si="34"/>
        <v>286.38132819714309</v>
      </c>
      <c r="BU21">
        <f t="shared" si="34"/>
        <v>286.38132819714309</v>
      </c>
      <c r="BV21">
        <f t="shared" si="34"/>
        <v>286.38132819714309</v>
      </c>
      <c r="BW21">
        <f t="shared" si="34"/>
        <v>286.38132819714309</v>
      </c>
      <c r="BX21">
        <f t="shared" si="34"/>
        <v>286.38132819714309</v>
      </c>
      <c r="BY21">
        <f t="shared" si="34"/>
        <v>286.38132819714309</v>
      </c>
      <c r="BZ21">
        <f t="shared" si="34"/>
        <v>286.38132819714309</v>
      </c>
      <c r="CA21">
        <f t="shared" si="34"/>
        <v>286.38132819714309</v>
      </c>
      <c r="CB21">
        <f t="shared" si="34"/>
        <v>286.38132819714309</v>
      </c>
      <c r="CC21">
        <f t="shared" si="34"/>
        <v>286.38132819714309</v>
      </c>
      <c r="CD21">
        <f t="shared" si="34"/>
        <v>286.38132819714309</v>
      </c>
      <c r="CE21">
        <f t="shared" si="34"/>
        <v>286.38132819714309</v>
      </c>
      <c r="CF21">
        <f t="shared" si="34"/>
        <v>286.38132819714309</v>
      </c>
      <c r="CG21">
        <f t="shared" si="34"/>
        <v>286.38132819714309</v>
      </c>
      <c r="CH21">
        <f t="shared" si="34"/>
        <v>286.38132819714309</v>
      </c>
      <c r="CI21">
        <f t="shared" si="34"/>
        <v>286.38132819714309</v>
      </c>
      <c r="CJ21">
        <f t="shared" si="34"/>
        <v>286.38132819714309</v>
      </c>
      <c r="CK21">
        <f t="shared" si="34"/>
        <v>286.38132819714309</v>
      </c>
      <c r="CL21">
        <f t="shared" si="34"/>
        <v>286.38132819714309</v>
      </c>
      <c r="CM21">
        <f t="shared" si="34"/>
        <v>286.38132819714309</v>
      </c>
      <c r="CN21">
        <f t="shared" si="34"/>
        <v>286.38132819714309</v>
      </c>
      <c r="CO21">
        <f t="shared" si="34"/>
        <v>286.38132819714309</v>
      </c>
      <c r="CP21">
        <f t="shared" si="34"/>
        <v>286.38132819714309</v>
      </c>
    </row>
    <row r="22" spans="2:94" x14ac:dyDescent="0.3">
      <c r="B22" t="s">
        <v>3</v>
      </c>
      <c r="C22" s="2">
        <v>887</v>
      </c>
      <c r="D22" s="2">
        <v>994</v>
      </c>
      <c r="E22" s="2">
        <v>1036</v>
      </c>
      <c r="F22" s="2">
        <v>1105</v>
      </c>
      <c r="G22" s="2">
        <v>1083</v>
      </c>
      <c r="H22" s="2">
        <v>1133</v>
      </c>
      <c r="I22" s="2">
        <v>1119</v>
      </c>
      <c r="J22" s="2">
        <v>1123</v>
      </c>
      <c r="K22" s="2">
        <v>1129</v>
      </c>
      <c r="L22" s="2">
        <v>1157</v>
      </c>
      <c r="M22" s="2">
        <f>L22+L22*M28</f>
        <v>1168.57</v>
      </c>
      <c r="N22" s="2">
        <f>M22+M22*N28</f>
        <v>1180.2556999999999</v>
      </c>
      <c r="P22" s="2">
        <v>887</v>
      </c>
      <c r="Q22" s="2">
        <f>AVERAGE(C22:F22)</f>
        <v>1005.5</v>
      </c>
      <c r="R22" s="2">
        <f>AVERAGE(G22:J22)</f>
        <v>1114.5</v>
      </c>
      <c r="S22" s="2">
        <f>AVERAGE(K22:N22)</f>
        <v>1158.7064249999999</v>
      </c>
      <c r="T22" s="2">
        <f>S22*(1+T28)</f>
        <v>1170.2934892499998</v>
      </c>
      <c r="U22" s="2">
        <f t="shared" ref="U22:X22" si="35">T22*(1+U28)</f>
        <v>1181.9964241424998</v>
      </c>
      <c r="V22" s="2">
        <f t="shared" si="35"/>
        <v>1193.8163883839247</v>
      </c>
      <c r="W22" s="2">
        <f t="shared" si="35"/>
        <v>1205.754552267764</v>
      </c>
      <c r="X22" s="2">
        <f t="shared" si="35"/>
        <v>1217.8120977904416</v>
      </c>
    </row>
    <row r="24" spans="2:94" x14ac:dyDescent="0.3">
      <c r="B24" t="s">
        <v>52</v>
      </c>
      <c r="F24" s="2"/>
      <c r="G24" s="9">
        <f t="shared" ref="G24:K24" si="36">G6/C6-1</f>
        <v>0.73583959899749374</v>
      </c>
      <c r="H24" s="9">
        <f t="shared" si="36"/>
        <v>0.98111332007952279</v>
      </c>
      <c r="I24" s="9">
        <f t="shared" si="36"/>
        <v>0.56846425721126437</v>
      </c>
      <c r="J24" s="9">
        <f t="shared" si="36"/>
        <v>0.64919955323901712</v>
      </c>
      <c r="K24" s="9">
        <f t="shared" si="36"/>
        <v>0.80537106555010096</v>
      </c>
      <c r="L24" s="9">
        <f>L6/H6-1</f>
        <v>0.41612309750794441</v>
      </c>
      <c r="M24" s="9">
        <f>M6/I6-1</f>
        <v>0.52038598531656599</v>
      </c>
      <c r="N24" s="9">
        <f>N6/J6-1</f>
        <v>0.5385360347649415</v>
      </c>
      <c r="P24" s="9"/>
      <c r="Q24" s="9">
        <f t="shared" ref="P24:R24" si="37">Q6/P6-1</f>
        <v>0.28309870615998056</v>
      </c>
      <c r="R24" s="9">
        <f t="shared" si="37"/>
        <v>0.70671613394216126</v>
      </c>
      <c r="S24" s="9">
        <f>S6/R6-1</f>
        <v>0.55820504245396929</v>
      </c>
      <c r="T24" s="9">
        <f t="shared" ref="T24:X24" si="38">T6/S6-1</f>
        <v>0.49745848410232041</v>
      </c>
      <c r="U24" s="9">
        <f t="shared" si="38"/>
        <v>0.49946198974573619</v>
      </c>
      <c r="V24" s="9">
        <f t="shared" si="38"/>
        <v>0.45639994946739626</v>
      </c>
      <c r="W24" s="9">
        <f t="shared" si="38"/>
        <v>0.41363320119741687</v>
      </c>
      <c r="X24" s="9">
        <f t="shared" si="38"/>
        <v>0.41625713762521488</v>
      </c>
    </row>
    <row r="25" spans="2:94" x14ac:dyDescent="0.3">
      <c r="B25" t="s">
        <v>53</v>
      </c>
      <c r="C25" s="9">
        <f t="shared" ref="C25:F25" si="39">C11/C6</f>
        <v>0.20618212197159566</v>
      </c>
      <c r="D25" s="9">
        <f t="shared" si="39"/>
        <v>0.20990722332670642</v>
      </c>
      <c r="E25" s="9">
        <f t="shared" si="39"/>
        <v>0.23520693193478509</v>
      </c>
      <c r="F25" s="9">
        <f t="shared" si="39"/>
        <v>0.19229337304542071</v>
      </c>
      <c r="G25" s="9">
        <f>G11/G6</f>
        <v>0.21320627586870727</v>
      </c>
      <c r="H25" s="9">
        <f t="shared" ref="H25:N25" si="40">H11/H6</f>
        <v>0.24117745442381669</v>
      </c>
      <c r="I25" s="9">
        <f t="shared" si="40"/>
        <v>0.26604637639020134</v>
      </c>
      <c r="J25" s="9">
        <f t="shared" si="40"/>
        <v>0.27354816863254133</v>
      </c>
      <c r="K25" s="9">
        <f t="shared" si="40"/>
        <v>0.29110684580934099</v>
      </c>
      <c r="L25" s="9">
        <f t="shared" si="40"/>
        <v>0.25002952639659853</v>
      </c>
      <c r="M25" s="9">
        <f t="shared" si="40"/>
        <v>0.27747245523153369</v>
      </c>
      <c r="N25" s="9">
        <f t="shared" si="40"/>
        <v>0.28745563310947519</v>
      </c>
      <c r="T25" s="10">
        <v>0.3</v>
      </c>
      <c r="U25" s="10">
        <v>0.3</v>
      </c>
      <c r="V25" s="10">
        <v>0.3</v>
      </c>
      <c r="W25" s="10">
        <v>0.3</v>
      </c>
      <c r="X25" s="10">
        <v>0.3</v>
      </c>
    </row>
    <row r="26" spans="2:94" x14ac:dyDescent="0.3">
      <c r="B26" t="s">
        <v>54</v>
      </c>
      <c r="C26" s="9">
        <f>C20/C6</f>
        <v>1.1361737677527151E-2</v>
      </c>
      <c r="D26" s="9">
        <f t="shared" ref="D26:X26" si="41">D20/D6</f>
        <v>2.1371769383697812E-2</v>
      </c>
      <c r="E26" s="9">
        <f t="shared" si="41"/>
        <v>4.2070459468703685E-2</v>
      </c>
      <c r="F26" s="9">
        <f t="shared" si="41"/>
        <v>2.7550260610573342E-2</v>
      </c>
      <c r="G26" s="9">
        <f t="shared" si="41"/>
        <v>4.4662623929155841E-2</v>
      </c>
      <c r="H26" s="9">
        <f t="shared" si="41"/>
        <v>9.8511456765345382E-2</v>
      </c>
      <c r="I26" s="9">
        <f t="shared" si="41"/>
        <v>0.12059315257686996</v>
      </c>
      <c r="J26" s="9">
        <f t="shared" si="41"/>
        <v>0.13223093854054968</v>
      </c>
      <c r="K26" s="9">
        <f t="shared" si="41"/>
        <v>0.17487737257410962</v>
      </c>
      <c r="L26" s="9">
        <f t="shared" si="41"/>
        <v>0.13399078776426124</v>
      </c>
      <c r="M26" s="9">
        <f t="shared" si="41"/>
        <v>0.16867318959932479</v>
      </c>
      <c r="N26" s="9">
        <f t="shared" si="41"/>
        <v>0.17502115818309599</v>
      </c>
      <c r="P26" s="9">
        <f t="shared" si="41"/>
        <v>-3.1532264626902111E-2</v>
      </c>
      <c r="Q26" s="9">
        <f t="shared" si="41"/>
        <v>2.7333840690005072E-2</v>
      </c>
      <c r="R26" s="9">
        <f t="shared" si="41"/>
        <v>0.10486223361759843</v>
      </c>
      <c r="S26" s="9">
        <f t="shared" si="41"/>
        <v>0.16512124217230395</v>
      </c>
      <c r="T26" s="9">
        <f>17%</f>
        <v>0.17</v>
      </c>
      <c r="U26" s="9">
        <v>0.18</v>
      </c>
      <c r="V26" s="9">
        <v>0.19</v>
      </c>
      <c r="W26" s="9">
        <v>0.19</v>
      </c>
      <c r="X26" s="9">
        <v>0.2</v>
      </c>
    </row>
    <row r="27" spans="2:94" x14ac:dyDescent="0.3">
      <c r="B27" t="s">
        <v>55</v>
      </c>
      <c r="C27" s="9">
        <f>C19/C18</f>
        <v>2.8571428571428571E-2</v>
      </c>
      <c r="D27" s="9">
        <f t="shared" ref="D27:M27" si="42">D19/D18</f>
        <v>0.14000000000000001</v>
      </c>
      <c r="E27" s="9">
        <f t="shared" si="42"/>
        <v>0.33513513513513515</v>
      </c>
      <c r="F27" s="9">
        <f t="shared" si="42"/>
        <v>0.21899736147757257</v>
      </c>
      <c r="G27" s="9">
        <f t="shared" si="42"/>
        <v>0.12945590994371481</v>
      </c>
      <c r="H27" s="9">
        <f t="shared" si="42"/>
        <v>8.8940448569218872E-2</v>
      </c>
      <c r="I27" s="9">
        <f t="shared" si="42"/>
        <v>0.11849096705632306</v>
      </c>
      <c r="J27" s="9">
        <f t="shared" si="42"/>
        <v>0.11081593927893738</v>
      </c>
      <c r="K27" s="9">
        <f t="shared" si="42"/>
        <v>9.5421952564809703E-2</v>
      </c>
      <c r="L27" s="9">
        <f t="shared" si="42"/>
        <v>8.286176232821342E-2</v>
      </c>
      <c r="M27" s="10">
        <v>0.11</v>
      </c>
      <c r="N27" s="10">
        <v>0.11</v>
      </c>
      <c r="AB27" t="s">
        <v>72</v>
      </c>
      <c r="AC27" s="10">
        <v>0.2</v>
      </c>
    </row>
    <row r="28" spans="2:94" x14ac:dyDescent="0.3">
      <c r="B28" t="s">
        <v>56</v>
      </c>
      <c r="D28" s="9">
        <f>D22/C22-1</f>
        <v>0.12063134160090194</v>
      </c>
      <c r="E28" s="9">
        <f t="shared" ref="E28:L28" si="43">E22/D22-1</f>
        <v>4.2253521126760507E-2</v>
      </c>
      <c r="F28" s="9">
        <f t="shared" si="43"/>
        <v>6.6602316602316636E-2</v>
      </c>
      <c r="G28" s="9">
        <f t="shared" si="43"/>
        <v>-1.9909502262443479E-2</v>
      </c>
      <c r="H28" s="9">
        <f t="shared" si="43"/>
        <v>4.6168051708217916E-2</v>
      </c>
      <c r="I28" s="9">
        <f t="shared" si="43"/>
        <v>-1.2356575463371544E-2</v>
      </c>
      <c r="J28" s="9">
        <f t="shared" si="43"/>
        <v>3.5746201966040392E-3</v>
      </c>
      <c r="K28" s="9">
        <f t="shared" si="43"/>
        <v>5.3428317008015203E-3</v>
      </c>
      <c r="L28" s="9">
        <f t="shared" si="43"/>
        <v>2.4800708591674159E-2</v>
      </c>
      <c r="M28" s="10">
        <v>0.01</v>
      </c>
      <c r="N28" s="10">
        <v>0.01</v>
      </c>
      <c r="T28" s="10">
        <v>0.01</v>
      </c>
      <c r="U28" s="10">
        <v>0.01</v>
      </c>
      <c r="V28" s="10">
        <v>0.01</v>
      </c>
      <c r="W28" s="10">
        <v>0.01</v>
      </c>
      <c r="X28" s="10">
        <v>0.01</v>
      </c>
      <c r="AB28" s="29" t="s">
        <v>73</v>
      </c>
      <c r="AC28" s="31">
        <f>NPV(AC27,T21:CP21)</f>
        <v>523.78043526326667</v>
      </c>
    </row>
    <row r="29" spans="2:94" x14ac:dyDescent="0.3">
      <c r="B29" t="s">
        <v>71</v>
      </c>
      <c r="D29" s="9"/>
      <c r="E29" s="9"/>
      <c r="F29" s="9"/>
      <c r="G29" s="9"/>
      <c r="H29" s="9"/>
      <c r="I29" s="9"/>
      <c r="J29" s="9"/>
      <c r="K29" s="9"/>
      <c r="L29" s="9"/>
      <c r="M29" s="10"/>
      <c r="N29" s="10"/>
      <c r="R29" s="9">
        <f>R21/Q21-1</f>
        <v>6.65625</v>
      </c>
      <c r="S29" s="9">
        <f>S21/R21-1</f>
        <v>1.4227848040877569</v>
      </c>
      <c r="T29" s="9">
        <f t="shared" ref="T29:X29" si="44">T21/S21-1</f>
        <v>0.53670501455270059</v>
      </c>
      <c r="U29" s="9">
        <f t="shared" si="44"/>
        <v>0.57194617445679952</v>
      </c>
      <c r="V29" s="9">
        <f t="shared" si="44"/>
        <v>0.52209015620904986</v>
      </c>
      <c r="W29" s="9">
        <f t="shared" si="44"/>
        <v>0.39963683286872986</v>
      </c>
      <c r="X29" s="9">
        <f t="shared" si="44"/>
        <v>0.47603662076624809</v>
      </c>
    </row>
    <row r="30" spans="2:94" x14ac:dyDescent="0.3">
      <c r="AB30" t="s">
        <v>8</v>
      </c>
      <c r="AC30">
        <v>933802</v>
      </c>
    </row>
    <row r="31" spans="2:94" x14ac:dyDescent="0.3">
      <c r="B31" s="11" t="s">
        <v>57</v>
      </c>
      <c r="C31" s="11"/>
      <c r="D31" s="11"/>
      <c r="E31" s="11"/>
      <c r="F31" s="11"/>
      <c r="G31" s="12">
        <f t="shared" ref="G31:K33" si="45">G3/C3-1</f>
        <v>0.75409197194076394</v>
      </c>
      <c r="H31" s="12">
        <f t="shared" si="45"/>
        <v>0.97065070476926052</v>
      </c>
      <c r="I31" s="12">
        <f t="shared" si="45"/>
        <v>0.58415451320457223</v>
      </c>
      <c r="J31" s="12">
        <f t="shared" si="45"/>
        <v>0.71430105217951478</v>
      </c>
      <c r="K31" s="12">
        <f t="shared" si="45"/>
        <v>0.87302821595201063</v>
      </c>
      <c r="L31" s="12">
        <f>L3/H3-1</f>
        <v>0.43072702331961588</v>
      </c>
      <c r="M31" s="19">
        <v>0.55000000000000004</v>
      </c>
      <c r="N31" s="19">
        <v>0.56000000000000005</v>
      </c>
      <c r="T31" s="19">
        <v>0.5</v>
      </c>
      <c r="U31" s="19">
        <v>0.5</v>
      </c>
      <c r="V31" s="19">
        <v>0.45</v>
      </c>
      <c r="W31" s="19">
        <v>0.4</v>
      </c>
      <c r="X31" s="19">
        <v>0.4</v>
      </c>
      <c r="AB31" t="s">
        <v>3</v>
      </c>
      <c r="AC31">
        <f>1155</f>
        <v>1155</v>
      </c>
    </row>
    <row r="32" spans="2:94" x14ac:dyDescent="0.3">
      <c r="B32" s="13" t="s">
        <v>58</v>
      </c>
      <c r="C32" s="13"/>
      <c r="D32" s="13"/>
      <c r="E32" s="13"/>
      <c r="F32" s="13"/>
      <c r="G32" s="14">
        <f t="shared" si="45"/>
        <v>0.68600682593856654</v>
      </c>
      <c r="H32" s="14">
        <f t="shared" si="45"/>
        <v>1.1648648648648647</v>
      </c>
      <c r="I32" s="14">
        <f t="shared" si="45"/>
        <v>0.39205526770293608</v>
      </c>
      <c r="J32" s="14">
        <f t="shared" si="45"/>
        <v>-8.5106382978723416E-2</v>
      </c>
      <c r="K32" s="14">
        <f t="shared" si="45"/>
        <v>0.24696356275303644</v>
      </c>
      <c r="L32" s="14">
        <f t="shared" ref="L32:L33" si="46">L4/H4-1</f>
        <v>8.1148564294631687E-2</v>
      </c>
      <c r="M32" s="18">
        <v>0.1</v>
      </c>
      <c r="N32" s="18">
        <v>0.1</v>
      </c>
      <c r="T32" s="14">
        <f>25%</f>
        <v>0.25</v>
      </c>
      <c r="U32" s="14">
        <f>25%</f>
        <v>0.25</v>
      </c>
      <c r="V32" s="14">
        <f>25%</f>
        <v>0.25</v>
      </c>
      <c r="W32" s="14">
        <f>25%</f>
        <v>0.25</v>
      </c>
      <c r="X32" s="14">
        <f>25%</f>
        <v>0.25</v>
      </c>
      <c r="AB32" s="29" t="s">
        <v>90</v>
      </c>
      <c r="AC32" s="30">
        <f>AC30/AC31</f>
        <v>808.48658008658003</v>
      </c>
    </row>
    <row r="33" spans="2:29" x14ac:dyDescent="0.3">
      <c r="B33" s="15" t="s">
        <v>59</v>
      </c>
      <c r="C33" s="15"/>
      <c r="D33" s="15"/>
      <c r="E33" s="15"/>
      <c r="F33" s="15"/>
      <c r="G33" s="16">
        <f t="shared" si="45"/>
        <v>0.59464285714285725</v>
      </c>
      <c r="H33" s="16">
        <f t="shared" si="45"/>
        <v>0.95277207392197116</v>
      </c>
      <c r="I33" s="16">
        <f t="shared" si="45"/>
        <v>0.53872633390705671</v>
      </c>
      <c r="J33" s="16">
        <f t="shared" si="45"/>
        <v>0.56932153392330376</v>
      </c>
      <c r="K33" s="16">
        <f t="shared" si="45"/>
        <v>0.43225083986562152</v>
      </c>
      <c r="L33" s="16">
        <f t="shared" si="46"/>
        <v>0.54153522607781279</v>
      </c>
      <c r="M33" s="17">
        <v>0.5</v>
      </c>
      <c r="N33" s="17">
        <v>0.5</v>
      </c>
      <c r="T33" s="23">
        <v>0.6</v>
      </c>
      <c r="U33" s="23">
        <v>0.6</v>
      </c>
      <c r="V33" s="23">
        <v>0.6</v>
      </c>
      <c r="W33" s="23">
        <v>0.6</v>
      </c>
      <c r="X33" s="23">
        <v>0.6</v>
      </c>
    </row>
    <row r="34" spans="2:29" x14ac:dyDescent="0.3">
      <c r="B34" s="11" t="s">
        <v>60</v>
      </c>
      <c r="C34" s="11"/>
      <c r="D34" s="11"/>
      <c r="E34" s="11"/>
      <c r="F34" s="11"/>
      <c r="G34" s="12">
        <f t="shared" ref="G34:K36" si="47">G7/C7-1</f>
        <v>0.73174561633080337</v>
      </c>
      <c r="H34" s="12">
        <f t="shared" si="47"/>
        <v>0.89202485758674266</v>
      </c>
      <c r="I34" s="12">
        <f t="shared" si="47"/>
        <v>0.52270250635670168</v>
      </c>
      <c r="J34" s="12">
        <f t="shared" si="47"/>
        <v>0.56789250353606779</v>
      </c>
      <c r="K34" s="12">
        <f t="shared" si="47"/>
        <v>0.71104730240290159</v>
      </c>
      <c r="L34" s="12">
        <f>L7/H7-1</f>
        <v>0.4398521965238813</v>
      </c>
      <c r="M34" s="19">
        <v>0.55000000000000004</v>
      </c>
      <c r="N34" s="19">
        <v>0.55000000000000004</v>
      </c>
      <c r="AB34" s="29" t="s">
        <v>91</v>
      </c>
      <c r="AC34" s="32">
        <f>AC28/AC32-1</f>
        <v>-0.35214702610502757</v>
      </c>
    </row>
    <row r="35" spans="2:29" x14ac:dyDescent="0.3">
      <c r="B35" s="13" t="s">
        <v>61</v>
      </c>
      <c r="C35" s="13"/>
      <c r="D35" s="13"/>
      <c r="E35" s="13"/>
      <c r="F35" s="13"/>
      <c r="G35" s="14">
        <f t="shared" si="47"/>
        <v>1.1099290780141846</v>
      </c>
      <c r="H35" s="14">
        <f t="shared" si="47"/>
        <v>1.2378223495702008</v>
      </c>
      <c r="I35" s="14">
        <f t="shared" si="47"/>
        <v>0.43906810035842292</v>
      </c>
      <c r="J35" s="14">
        <f t="shared" si="47"/>
        <v>-6.0991105463786499E-2</v>
      </c>
      <c r="K35" s="14">
        <f t="shared" si="47"/>
        <v>0.15630252100840347</v>
      </c>
      <c r="L35" s="14">
        <f t="shared" ref="L35:L36" si="48">L8/H8-1</f>
        <v>-1.5364916773367487E-2</v>
      </c>
      <c r="M35" s="18">
        <v>0.05</v>
      </c>
      <c r="N35" s="18">
        <v>0.05</v>
      </c>
    </row>
    <row r="36" spans="2:29" x14ac:dyDescent="0.3">
      <c r="B36" s="15" t="s">
        <v>62</v>
      </c>
      <c r="C36" s="15"/>
      <c r="D36" s="15"/>
      <c r="E36" s="15"/>
      <c r="F36" s="15"/>
      <c r="G36" s="16">
        <f t="shared" si="47"/>
        <v>0.48456790123456783</v>
      </c>
      <c r="H36" s="16">
        <f t="shared" si="47"/>
        <v>0.76702508960573468</v>
      </c>
      <c r="I36" s="16">
        <f t="shared" si="47"/>
        <v>0.41304347826086962</v>
      </c>
      <c r="J36" s="16">
        <f t="shared" si="47"/>
        <v>0.27649208282582216</v>
      </c>
      <c r="K36" s="16">
        <f t="shared" si="47"/>
        <v>0.33679833679833671</v>
      </c>
      <c r="L36" s="16">
        <f t="shared" si="48"/>
        <v>0.43002028397565928</v>
      </c>
      <c r="M36" s="17">
        <v>0.4</v>
      </c>
      <c r="N36" s="17">
        <v>0.4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B8976-13F7-414F-9EB8-9AAEC5468D52}">
  <dimension ref="A3:G16"/>
  <sheetViews>
    <sheetView workbookViewId="0">
      <selection activeCell="E29" sqref="E29"/>
    </sheetView>
  </sheetViews>
  <sheetFormatPr defaultRowHeight="14.4" x14ac:dyDescent="0.3"/>
  <cols>
    <col min="1" max="1" width="25.44140625" customWidth="1"/>
    <col min="2" max="2" width="11.44140625" bestFit="1" customWidth="1"/>
    <col min="3" max="3" width="14.44140625" customWidth="1"/>
    <col min="6" max="6" width="16.88671875" customWidth="1"/>
  </cols>
  <sheetData>
    <row r="3" spans="1:7" x14ac:dyDescent="0.3">
      <c r="A3" t="s">
        <v>9</v>
      </c>
      <c r="B3">
        <v>31222</v>
      </c>
      <c r="C3" t="s">
        <v>10</v>
      </c>
      <c r="D3">
        <v>21821</v>
      </c>
      <c r="F3" t="s">
        <v>11</v>
      </c>
      <c r="G3">
        <f>B3-D3</f>
        <v>9401</v>
      </c>
    </row>
    <row r="4" spans="1:7" x14ac:dyDescent="0.3">
      <c r="A4" t="s">
        <v>12</v>
      </c>
      <c r="B4">
        <f>4782+5624+21093+2185+218+2952</f>
        <v>36854</v>
      </c>
      <c r="C4" t="s">
        <v>14</v>
      </c>
      <c r="D4">
        <f>2898+2210+3926</f>
        <v>9034</v>
      </c>
    </row>
    <row r="5" spans="1:7" x14ac:dyDescent="0.3">
      <c r="A5" t="s">
        <v>19</v>
      </c>
      <c r="B5">
        <v>437</v>
      </c>
    </row>
    <row r="7" spans="1:7" x14ac:dyDescent="0.3">
      <c r="A7" t="s">
        <v>13</v>
      </c>
      <c r="B7">
        <f>B3+B4+B5</f>
        <v>68513</v>
      </c>
      <c r="C7" t="s">
        <v>15</v>
      </c>
      <c r="D7">
        <f>D3+D4</f>
        <v>30855</v>
      </c>
    </row>
    <row r="8" spans="1:7" x14ac:dyDescent="0.3">
      <c r="C8" t="s">
        <v>16</v>
      </c>
      <c r="D8">
        <f>B7-D7</f>
        <v>37658</v>
      </c>
    </row>
    <row r="10" spans="1:7" x14ac:dyDescent="0.3">
      <c r="A10" t="s">
        <v>17</v>
      </c>
      <c r="B10">
        <v>37658</v>
      </c>
    </row>
    <row r="11" spans="1:7" x14ac:dyDescent="0.3">
      <c r="A11" t="s">
        <v>18</v>
      </c>
      <c r="B11">
        <f>B10-B5</f>
        <v>37221</v>
      </c>
    </row>
    <row r="12" spans="1:7" x14ac:dyDescent="0.3">
      <c r="A12" t="s">
        <v>20</v>
      </c>
      <c r="B12" s="5">
        <f>B11/Main!G4</f>
        <v>32.225974025974025</v>
      </c>
    </row>
    <row r="14" spans="1:7" x14ac:dyDescent="0.3">
      <c r="A14" t="s">
        <v>21</v>
      </c>
      <c r="B14" s="7">
        <f>(SUM('Conto Economico'!J20:L20)/D8)</f>
        <v>0.20957034361888577</v>
      </c>
    </row>
    <row r="16" spans="1:7" x14ac:dyDescent="0.3">
      <c r="A16" t="s">
        <v>42</v>
      </c>
      <c r="B16" s="5">
        <f>B12*(B14/15%)^2</f>
        <v>62.904713046665655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E5E5-74A1-49BA-9A9C-A353531A6D1A}">
  <dimension ref="A2:Y13"/>
  <sheetViews>
    <sheetView topLeftCell="D1" workbookViewId="0">
      <selection activeCell="P7" sqref="P7"/>
    </sheetView>
  </sheetViews>
  <sheetFormatPr defaultRowHeight="14.4" x14ac:dyDescent="0.3"/>
  <cols>
    <col min="1" max="1" width="18.88671875" customWidth="1"/>
    <col min="5" max="5" width="9.44140625" bestFit="1" customWidth="1"/>
    <col min="8" max="8" width="10.44140625" bestFit="1" customWidth="1"/>
    <col min="20" max="20" width="11.44140625" customWidth="1"/>
  </cols>
  <sheetData>
    <row r="2" spans="1:25" x14ac:dyDescent="0.3">
      <c r="B2" t="s">
        <v>63</v>
      </c>
      <c r="I2" s="3" t="s">
        <v>64</v>
      </c>
    </row>
    <row r="3" spans="1:25" ht="27" thickBot="1" x14ac:dyDescent="0.35">
      <c r="B3">
        <v>2013</v>
      </c>
      <c r="C3">
        <v>2014</v>
      </c>
      <c r="D3">
        <v>2015</v>
      </c>
      <c r="E3">
        <v>2016</v>
      </c>
      <c r="F3">
        <v>2017</v>
      </c>
      <c r="G3">
        <v>2018</v>
      </c>
      <c r="H3">
        <v>2019</v>
      </c>
      <c r="I3" s="3">
        <v>2020</v>
      </c>
      <c r="J3">
        <v>2021</v>
      </c>
      <c r="K3">
        <v>2022</v>
      </c>
      <c r="L3">
        <v>2023</v>
      </c>
      <c r="M3">
        <v>2024</v>
      </c>
      <c r="N3">
        <v>2025</v>
      </c>
      <c r="O3">
        <v>2026</v>
      </c>
      <c r="P3">
        <v>2027</v>
      </c>
      <c r="S3" s="27"/>
      <c r="T3" s="27" t="s">
        <v>75</v>
      </c>
      <c r="U3" s="28">
        <v>2021</v>
      </c>
      <c r="V3" s="28">
        <v>2020</v>
      </c>
      <c r="W3" s="28" t="s">
        <v>76</v>
      </c>
      <c r="X3" s="28" t="s">
        <v>77</v>
      </c>
      <c r="Y3" s="28" t="s">
        <v>78</v>
      </c>
    </row>
    <row r="4" spans="1:25" ht="40.200000000000003" thickBot="1" x14ac:dyDescent="0.35">
      <c r="B4">
        <v>57.62</v>
      </c>
      <c r="C4">
        <v>60.91</v>
      </c>
      <c r="D4">
        <v>62.71</v>
      </c>
      <c r="E4">
        <v>66.819999999999993</v>
      </c>
      <c r="F4">
        <v>68.33</v>
      </c>
      <c r="G4">
        <v>68.16</v>
      </c>
      <c r="H4">
        <v>65.504000000000005</v>
      </c>
      <c r="I4" s="3">
        <v>56</v>
      </c>
      <c r="J4">
        <v>58.18</v>
      </c>
      <c r="K4">
        <f>J4+J4*K5</f>
        <v>58.761800000000001</v>
      </c>
      <c r="L4">
        <f>K4+K4*L5</f>
        <v>59.349418</v>
      </c>
      <c r="M4">
        <f t="shared" ref="M4:P4" si="0">L4+L4*M5</f>
        <v>61.129900540000001</v>
      </c>
      <c r="N4">
        <f t="shared" si="0"/>
        <v>62.963797556199999</v>
      </c>
      <c r="O4">
        <f t="shared" si="0"/>
        <v>64.852711482885994</v>
      </c>
      <c r="P4">
        <f t="shared" si="0"/>
        <v>66.798292827372578</v>
      </c>
      <c r="S4" s="24">
        <v>1</v>
      </c>
      <c r="T4" s="24" t="s">
        <v>79</v>
      </c>
      <c r="U4" s="25">
        <v>2332262</v>
      </c>
      <c r="V4" s="25">
        <v>2112925</v>
      </c>
      <c r="W4" s="26">
        <v>0.104</v>
      </c>
      <c r="X4" s="26">
        <v>0.155</v>
      </c>
      <c r="Y4" s="26">
        <v>0.14499999999999999</v>
      </c>
    </row>
    <row r="5" spans="1:25" ht="27" thickBot="1" x14ac:dyDescent="0.35">
      <c r="A5" t="s">
        <v>65</v>
      </c>
      <c r="C5" s="9">
        <f>C4/B4-1</f>
        <v>5.7098229781325838E-2</v>
      </c>
      <c r="D5" s="9">
        <f t="shared" ref="D5:L5" si="1">D4/C4-1</f>
        <v>2.9551797734362228E-2</v>
      </c>
      <c r="E5" s="9">
        <f t="shared" si="1"/>
        <v>6.5539786317971416E-2</v>
      </c>
      <c r="F5" s="9">
        <f t="shared" si="1"/>
        <v>2.2598024543549977E-2</v>
      </c>
      <c r="G5" s="9">
        <f t="shared" si="1"/>
        <v>-2.4879262403044722E-3</v>
      </c>
      <c r="H5" s="9">
        <f t="shared" si="1"/>
        <v>-3.8967136150234616E-2</v>
      </c>
      <c r="I5" s="9">
        <f t="shared" si="1"/>
        <v>-0.14509037616023457</v>
      </c>
      <c r="J5" s="9">
        <f t="shared" si="1"/>
        <v>3.8928571428571423E-2</v>
      </c>
      <c r="K5" s="10">
        <v>0.01</v>
      </c>
      <c r="L5" s="9">
        <v>0.01</v>
      </c>
      <c r="M5" s="10">
        <v>0.03</v>
      </c>
      <c r="N5" s="10">
        <v>0.03</v>
      </c>
      <c r="O5" s="10">
        <v>0.03</v>
      </c>
      <c r="P5" s="10">
        <v>0.03</v>
      </c>
      <c r="S5" s="24">
        <v>2</v>
      </c>
      <c r="T5" s="24" t="s">
        <v>80</v>
      </c>
      <c r="U5" s="25">
        <v>2212589</v>
      </c>
      <c r="V5" s="25">
        <v>2548429</v>
      </c>
      <c r="W5" s="26">
        <v>-0.13200000000000001</v>
      </c>
      <c r="X5" s="26">
        <v>0.14699999999999999</v>
      </c>
      <c r="Y5" s="26">
        <v>0.17499999999999999</v>
      </c>
    </row>
    <row r="6" spans="1:25" ht="53.4" thickBot="1" x14ac:dyDescent="0.35">
      <c r="I6" s="20"/>
      <c r="S6" s="24">
        <v>3</v>
      </c>
      <c r="T6" s="24" t="s">
        <v>81</v>
      </c>
      <c r="U6" s="25">
        <v>1891753</v>
      </c>
      <c r="V6" s="25">
        <v>2034708</v>
      </c>
      <c r="W6" s="26">
        <v>-7.0000000000000007E-2</v>
      </c>
      <c r="X6" s="26">
        <v>0.126</v>
      </c>
      <c r="Y6" s="26">
        <v>0.13900000000000001</v>
      </c>
    </row>
    <row r="7" spans="1:25" ht="15" thickBot="1" x14ac:dyDescent="0.35">
      <c r="A7" t="s">
        <v>68</v>
      </c>
      <c r="E7">
        <v>7.4999999999999997E-2</v>
      </c>
      <c r="F7">
        <v>0.10299999999999999</v>
      </c>
      <c r="G7">
        <v>0.24399999999999999</v>
      </c>
      <c r="H7">
        <v>0.36699999999999999</v>
      </c>
      <c r="I7" s="20">
        <v>0.499</v>
      </c>
      <c r="J7" s="20">
        <v>0.93500000000000005</v>
      </c>
      <c r="K7" s="20">
        <v>1.5</v>
      </c>
      <c r="L7" s="5">
        <f>'Conto Economico'!T3/'Mercato delle auto mondiale'!L8</f>
        <v>2.2517961</v>
      </c>
      <c r="M7" s="5">
        <f>'Conto Economico'!U3/'Mercato delle auto mondiale'!M8</f>
        <v>3.37769415</v>
      </c>
      <c r="N7" s="5">
        <f>'Conto Economico'!V3/'Mercato delle auto mondiale'!N8</f>
        <v>4.8976565174999998</v>
      </c>
      <c r="O7" s="5">
        <f>'Conto Economico'!W3/'Mercato delle auto mondiale'!O8</f>
        <v>6.8567191244999997</v>
      </c>
      <c r="P7" s="5">
        <f>'Conto Economico'!X3/'Mercato delle auto mondiale'!P8</f>
        <v>9.5994067742999984</v>
      </c>
      <c r="S7" s="24">
        <v>4</v>
      </c>
      <c r="T7" s="24" t="s">
        <v>82</v>
      </c>
      <c r="U7" s="25">
        <v>1777391</v>
      </c>
      <c r="V7" s="25">
        <v>1820635</v>
      </c>
      <c r="W7" s="26">
        <v>-2.4E-2</v>
      </c>
      <c r="X7" s="26">
        <v>0.11799999999999999</v>
      </c>
      <c r="Y7" s="26">
        <v>0.125</v>
      </c>
    </row>
    <row r="8" spans="1:25" ht="27" thickBot="1" x14ac:dyDescent="0.35">
      <c r="A8" t="s">
        <v>69</v>
      </c>
      <c r="E8" s="21"/>
      <c r="F8" s="21"/>
      <c r="G8" s="21"/>
      <c r="H8" s="21">
        <f>'Conto Economico'!P3/'Mercato delle auto mondiale'!H7</f>
        <v>56732.97002724796</v>
      </c>
      <c r="I8" s="21">
        <f>'Conto Economico'!Q3/'Mercato delle auto mondiale'!I7</f>
        <v>54581.162324649296</v>
      </c>
      <c r="J8" s="21">
        <f>'Conto Economico'!R3/'Mercato delle auto mondiale'!J7</f>
        <v>50515.508021390371</v>
      </c>
      <c r="K8" s="21">
        <f>'Conto Economico'!S3/'Mercato delle auto mondiale'!K7</f>
        <v>50039.91333333333</v>
      </c>
      <c r="L8">
        <v>50000</v>
      </c>
      <c r="M8">
        <v>50000</v>
      </c>
      <c r="N8">
        <v>50000</v>
      </c>
      <c r="O8">
        <v>50000</v>
      </c>
      <c r="P8">
        <v>50000</v>
      </c>
      <c r="S8" s="24">
        <v>5</v>
      </c>
      <c r="T8" s="24" t="s">
        <v>83</v>
      </c>
      <c r="U8" s="25">
        <v>1489118</v>
      </c>
      <c r="V8" s="25">
        <v>1224758</v>
      </c>
      <c r="W8" s="26">
        <v>0.216</v>
      </c>
      <c r="X8" s="26">
        <v>9.9000000000000005E-2</v>
      </c>
      <c r="Y8" s="26">
        <v>8.4000000000000005E-2</v>
      </c>
    </row>
    <row r="9" spans="1:25" ht="22.2" customHeight="1" thickBot="1" x14ac:dyDescent="0.35">
      <c r="I9" s="20"/>
      <c r="S9" s="24">
        <v>6</v>
      </c>
      <c r="T9" s="24" t="s">
        <v>84</v>
      </c>
      <c r="U9" s="25">
        <v>1466630</v>
      </c>
      <c r="V9" s="25">
        <v>1346787</v>
      </c>
      <c r="W9" s="26">
        <v>8.8999999999999996E-2</v>
      </c>
      <c r="X9" s="26">
        <v>9.8000000000000004E-2</v>
      </c>
      <c r="Y9" s="26">
        <v>9.1999999999999998E-2</v>
      </c>
    </row>
    <row r="10" spans="1:25" ht="18.600000000000001" customHeight="1" thickBot="1" x14ac:dyDescent="0.35">
      <c r="A10" t="s">
        <v>70</v>
      </c>
      <c r="E10" s="22">
        <f>E7/E4</f>
        <v>1.122418437593535E-3</v>
      </c>
      <c r="F10" s="22">
        <f t="shared" ref="F10:P10" si="2">F7/F4</f>
        <v>1.5073906044197278E-3</v>
      </c>
      <c r="G10" s="22">
        <f t="shared" si="2"/>
        <v>3.5798122065727701E-3</v>
      </c>
      <c r="H10" s="22">
        <f t="shared" si="2"/>
        <v>5.6027112848070345E-3</v>
      </c>
      <c r="I10" s="22">
        <f t="shared" si="2"/>
        <v>8.9107142857142857E-3</v>
      </c>
      <c r="J10" s="22">
        <f t="shared" si="2"/>
        <v>1.6070814712959781E-2</v>
      </c>
      <c r="K10" s="22">
        <f t="shared" si="2"/>
        <v>2.5526787811128999E-2</v>
      </c>
      <c r="L10" s="22">
        <f t="shared" si="2"/>
        <v>3.7941334150909452E-2</v>
      </c>
      <c r="M10" s="22">
        <f t="shared" si="2"/>
        <v>5.5254370122683659E-2</v>
      </c>
      <c r="N10" s="22">
        <f t="shared" si="2"/>
        <v>7.7785278328049809E-2</v>
      </c>
      <c r="O10" s="22">
        <f t="shared" si="2"/>
        <v>0.10572756277599005</v>
      </c>
      <c r="P10" s="22">
        <f t="shared" si="2"/>
        <v>0.14370736687998645</v>
      </c>
      <c r="S10" s="24">
        <v>7</v>
      </c>
      <c r="T10" s="24" t="s">
        <v>85</v>
      </c>
      <c r="U10" s="25">
        <v>1079676</v>
      </c>
      <c r="V10" s="25">
        <v>986989</v>
      </c>
      <c r="W10" s="26">
        <v>9.4E-2</v>
      </c>
      <c r="X10" s="26">
        <v>7.1999999999999995E-2</v>
      </c>
      <c r="Y10" s="26">
        <v>6.8000000000000005E-2</v>
      </c>
    </row>
    <row r="11" spans="1:25" ht="27" thickBot="1" x14ac:dyDescent="0.35">
      <c r="S11" s="24">
        <v>8</v>
      </c>
      <c r="T11" s="24" t="s">
        <v>86</v>
      </c>
      <c r="U11" s="25">
        <v>641093</v>
      </c>
      <c r="V11" s="25">
        <v>571170</v>
      </c>
      <c r="W11" s="26">
        <v>0.122</v>
      </c>
      <c r="X11" s="26">
        <v>4.2999999999999997E-2</v>
      </c>
      <c r="Y11" s="26">
        <v>3.9E-2</v>
      </c>
    </row>
    <row r="12" spans="1:25" ht="21.6" customHeight="1" thickBot="1" x14ac:dyDescent="0.35">
      <c r="S12" s="24">
        <v>9</v>
      </c>
      <c r="T12" s="24" t="s">
        <v>87</v>
      </c>
      <c r="U12" s="25">
        <v>583810</v>
      </c>
      <c r="V12" s="25">
        <v>611938</v>
      </c>
      <c r="W12" s="26">
        <v>-4.5999999999999999E-2</v>
      </c>
      <c r="X12" s="26">
        <v>3.9E-2</v>
      </c>
      <c r="Y12" s="26">
        <v>4.2000000000000003E-2</v>
      </c>
    </row>
    <row r="13" spans="1:25" ht="27.6" customHeight="1" x14ac:dyDescent="0.3">
      <c r="S13" s="24">
        <v>10</v>
      </c>
      <c r="T13" s="24" t="s">
        <v>88</v>
      </c>
      <c r="U13" s="25">
        <v>366574</v>
      </c>
      <c r="V13" s="25">
        <v>306870</v>
      </c>
      <c r="W13" s="26">
        <v>0.19500000000000001</v>
      </c>
      <c r="X13" s="26">
        <v>2.4E-2</v>
      </c>
      <c r="Y13" s="26">
        <v>2.1000000000000001E-2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Main</vt:lpstr>
      <vt:lpstr>Conto Economico</vt:lpstr>
      <vt:lpstr>Stato Patrimoniale</vt:lpstr>
      <vt:lpstr>Mercato delle auto mondiale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</dc:creator>
  <cp:lastModifiedBy>Gale</cp:lastModifiedBy>
  <dcterms:created xsi:type="dcterms:W3CDTF">2022-07-21T17:40:36Z</dcterms:created>
  <dcterms:modified xsi:type="dcterms:W3CDTF">2022-07-24T08:29:22Z</dcterms:modified>
</cp:coreProperties>
</file>