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le\Desktop\Excel\"/>
    </mc:Choice>
  </mc:AlternateContent>
  <xr:revisionPtr revIDLastSave="0" documentId="8_{3A9F9129-16C0-4D5D-ACF5-1FC8406B7815}" xr6:coauthVersionLast="47" xr6:coauthVersionMax="47" xr10:uidLastSave="{00000000-0000-0000-0000-000000000000}"/>
  <bookViews>
    <workbookView xWindow="-108" yWindow="-108" windowWidth="23256" windowHeight="12576" activeTab="1" xr2:uid="{7530397D-1864-42DC-A095-DFC42221D6C9}"/>
  </bookViews>
  <sheets>
    <sheet name="Main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3" i="2" l="1"/>
  <c r="S23" i="2"/>
  <c r="T23" i="2"/>
  <c r="Y48" i="2"/>
  <c r="Y46" i="2"/>
  <c r="Y45" i="2"/>
  <c r="Y43" i="2"/>
  <c r="Y42" i="2"/>
  <c r="Y40" i="2"/>
  <c r="Y41" i="2" s="1"/>
  <c r="L23" i="2"/>
  <c r="Q5" i="2"/>
  <c r="Q9" i="2" s="1"/>
  <c r="Q11" i="2" s="1"/>
  <c r="Q13" i="2" s="1"/>
  <c r="Q15" i="2" s="1"/>
  <c r="R17" i="2" s="1"/>
  <c r="L3" i="2"/>
  <c r="M6" i="2"/>
  <c r="M7" i="2"/>
  <c r="M8" i="2"/>
  <c r="L7" i="2"/>
  <c r="L8" i="2"/>
  <c r="L6" i="2"/>
  <c r="Y31" i="2"/>
  <c r="V10" i="2"/>
  <c r="M3" i="2"/>
  <c r="M23" i="2" s="1"/>
  <c r="L4" i="2"/>
  <c r="R5" i="2"/>
  <c r="R9" i="2" s="1"/>
  <c r="R11" i="2" s="1"/>
  <c r="R13" i="2" s="1"/>
  <c r="R15" i="2" s="1"/>
  <c r="S5" i="2"/>
  <c r="S9" i="2" s="1"/>
  <c r="S11" i="2" s="1"/>
  <c r="S13" i="2" s="1"/>
  <c r="S15" i="2" s="1"/>
  <c r="S17" i="2" s="1"/>
  <c r="M4" i="2"/>
  <c r="K13" i="1"/>
  <c r="J14" i="1" s="1"/>
  <c r="J15" i="1" s="1"/>
  <c r="K29" i="2"/>
  <c r="K33" i="2" s="1"/>
  <c r="G23" i="2"/>
  <c r="H23" i="2"/>
  <c r="I23" i="2"/>
  <c r="K23" i="2"/>
  <c r="F14" i="2"/>
  <c r="T14" i="2" s="1"/>
  <c r="F12" i="2"/>
  <c r="T12" i="2" s="1"/>
  <c r="F10" i="2"/>
  <c r="T10" i="2" s="1"/>
  <c r="F8" i="2"/>
  <c r="T8" i="2" s="1"/>
  <c r="F7" i="2"/>
  <c r="T7" i="2" s="1"/>
  <c r="F6" i="2"/>
  <c r="T6" i="2" s="1"/>
  <c r="F4" i="2"/>
  <c r="T4" i="2" s="1"/>
  <c r="F3" i="2"/>
  <c r="T3" i="2" s="1"/>
  <c r="J14" i="2"/>
  <c r="U14" i="2" s="1"/>
  <c r="J12" i="2"/>
  <c r="U12" i="2" s="1"/>
  <c r="J10" i="2"/>
  <c r="U10" i="2" s="1"/>
  <c r="J8" i="2"/>
  <c r="N8" i="2" s="1"/>
  <c r="J7" i="2"/>
  <c r="U7" i="2" s="1"/>
  <c r="J6" i="2"/>
  <c r="U6" i="2" s="1"/>
  <c r="J4" i="2"/>
  <c r="N4" i="2" s="1"/>
  <c r="J3" i="2"/>
  <c r="N3" i="2" s="1"/>
  <c r="N23" i="2" s="1"/>
  <c r="I5" i="2"/>
  <c r="I9" i="2" s="1"/>
  <c r="I11" i="2" s="1"/>
  <c r="I13" i="2" s="1"/>
  <c r="I15" i="2" s="1"/>
  <c r="F4" i="1"/>
  <c r="F5" i="1" s="1"/>
  <c r="H5" i="2"/>
  <c r="H9" i="2" s="1"/>
  <c r="H11" i="2" s="1"/>
  <c r="H13" i="2" s="1"/>
  <c r="H15" i="2" s="1"/>
  <c r="G5" i="2"/>
  <c r="G18" i="2" s="1"/>
  <c r="E5" i="2"/>
  <c r="E9" i="2" s="1"/>
  <c r="E11" i="2" s="1"/>
  <c r="E13" i="2" s="1"/>
  <c r="E15" i="2" s="1"/>
  <c r="D5" i="2"/>
  <c r="D9" i="2" s="1"/>
  <c r="D11" i="2" s="1"/>
  <c r="D13" i="2" s="1"/>
  <c r="D15" i="2" s="1"/>
  <c r="C5" i="2"/>
  <c r="C18" i="2" s="1"/>
  <c r="K5" i="2"/>
  <c r="K9" i="2" s="1"/>
  <c r="F6" i="1"/>
  <c r="F8" i="1" s="1"/>
  <c r="Y27" i="2" s="1"/>
  <c r="N6" i="2" l="1"/>
  <c r="V6" i="2" s="1"/>
  <c r="N7" i="2"/>
  <c r="V7" i="2" s="1"/>
  <c r="M5" i="2"/>
  <c r="U3" i="2"/>
  <c r="U23" i="2" s="1"/>
  <c r="N5" i="2"/>
  <c r="N18" i="2" s="1"/>
  <c r="T5" i="2"/>
  <c r="V4" i="2"/>
  <c r="V8" i="2"/>
  <c r="V3" i="2"/>
  <c r="L5" i="2"/>
  <c r="U4" i="2"/>
  <c r="U8" i="2"/>
  <c r="G9" i="2"/>
  <c r="G11" i="2" s="1"/>
  <c r="G13" i="2" s="1"/>
  <c r="G15" i="2" s="1"/>
  <c r="F9" i="1"/>
  <c r="J5" i="2"/>
  <c r="J18" i="2" s="1"/>
  <c r="I20" i="2"/>
  <c r="E21" i="2"/>
  <c r="C9" i="2"/>
  <c r="C11" i="2" s="1"/>
  <c r="C13" i="2" s="1"/>
  <c r="C15" i="2" s="1"/>
  <c r="H21" i="2"/>
  <c r="H20" i="2"/>
  <c r="H19" i="2"/>
  <c r="I19" i="2"/>
  <c r="K19" i="2"/>
  <c r="K11" i="2"/>
  <c r="K13" i="2" s="1"/>
  <c r="E18" i="2"/>
  <c r="D19" i="2"/>
  <c r="D21" i="2"/>
  <c r="D18" i="2"/>
  <c r="E19" i="2"/>
  <c r="D20" i="2"/>
  <c r="K18" i="2"/>
  <c r="E20" i="2"/>
  <c r="J23" i="2"/>
  <c r="H18" i="2"/>
  <c r="I21" i="2"/>
  <c r="I18" i="2"/>
  <c r="F5" i="2"/>
  <c r="F18" i="2" s="1"/>
  <c r="W3" i="2" l="1"/>
  <c r="V23" i="2"/>
  <c r="T9" i="2"/>
  <c r="T18" i="2"/>
  <c r="M9" i="2"/>
  <c r="M11" i="2" s="1"/>
  <c r="M12" i="2" s="1"/>
  <c r="M18" i="2"/>
  <c r="L9" i="2"/>
  <c r="L11" i="2" s="1"/>
  <c r="L12" i="2" s="1"/>
  <c r="L18" i="2"/>
  <c r="V5" i="2"/>
  <c r="V9" i="2" s="1"/>
  <c r="V11" i="2" s="1"/>
  <c r="N9" i="2"/>
  <c r="C19" i="2"/>
  <c r="U5" i="2"/>
  <c r="G19" i="2"/>
  <c r="F9" i="2"/>
  <c r="F11" i="2" s="1"/>
  <c r="F13" i="2" s="1"/>
  <c r="G20" i="2"/>
  <c r="G21" i="2"/>
  <c r="C21" i="2"/>
  <c r="C20" i="2"/>
  <c r="J9" i="2"/>
  <c r="J19" i="2" s="1"/>
  <c r="K20" i="2"/>
  <c r="K21" i="2"/>
  <c r="K15" i="2"/>
  <c r="T11" i="2" l="1"/>
  <c r="T13" i="2" s="1"/>
  <c r="T19" i="2"/>
  <c r="W13" i="2"/>
  <c r="X3" i="2"/>
  <c r="U9" i="2"/>
  <c r="U18" i="2"/>
  <c r="L19" i="2"/>
  <c r="M19" i="2"/>
  <c r="N11" i="2"/>
  <c r="N12" i="2" s="1"/>
  <c r="N19" i="2"/>
  <c r="F19" i="2"/>
  <c r="Y28" i="2"/>
  <c r="Y29" i="2" s="1"/>
  <c r="L15" i="2"/>
  <c r="M15" i="2" s="1"/>
  <c r="N15" i="2" s="1"/>
  <c r="J11" i="2"/>
  <c r="J13" i="2" s="1"/>
  <c r="J20" i="2" s="1"/>
  <c r="F15" i="2"/>
  <c r="F20" i="2"/>
  <c r="F21" i="2"/>
  <c r="U11" i="2" l="1"/>
  <c r="U13" i="2" s="1"/>
  <c r="U19" i="2"/>
  <c r="Y3" i="2"/>
  <c r="X13" i="2"/>
  <c r="T15" i="2"/>
  <c r="T17" i="2" s="1"/>
  <c r="T21" i="2"/>
  <c r="T20" i="2"/>
  <c r="J21" i="2"/>
  <c r="J15" i="2"/>
  <c r="M13" i="2"/>
  <c r="M14" i="2" s="1"/>
  <c r="L13" i="2"/>
  <c r="L14" i="2" s="1"/>
  <c r="V12" i="2"/>
  <c r="V13" i="2" s="1"/>
  <c r="V21" i="2" s="1"/>
  <c r="N13" i="2"/>
  <c r="Z3" i="2" l="1"/>
  <c r="Y13" i="2"/>
  <c r="U15" i="2"/>
  <c r="U17" i="2" s="1"/>
  <c r="U21" i="2"/>
  <c r="U20" i="2"/>
  <c r="N20" i="2"/>
  <c r="N21" i="2"/>
  <c r="N14" i="2"/>
  <c r="V14" i="2" s="1"/>
  <c r="M20" i="2"/>
  <c r="M21" i="2"/>
  <c r="L20" i="2"/>
  <c r="L21" i="2"/>
  <c r="AA3" i="2" l="1"/>
  <c r="AA13" i="2" s="1"/>
  <c r="Z13" i="2"/>
  <c r="V15" i="2"/>
  <c r="W15" i="2" s="1"/>
  <c r="X15" i="2" s="1"/>
  <c r="Y15" i="2" s="1"/>
  <c r="Z15" i="2" s="1"/>
  <c r="AA15" i="2" s="1"/>
  <c r="V17" i="2" l="1"/>
  <c r="W14" i="2"/>
  <c r="AA14" i="2"/>
  <c r="AB14" i="2" s="1"/>
  <c r="AC14" i="2" s="1"/>
  <c r="Y14" i="2"/>
  <c r="Z14" i="2"/>
  <c r="X14" i="2"/>
  <c r="AD14" i="2" l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Y26" i="2" l="1"/>
  <c r="Y30" i="2" s="1"/>
  <c r="Y3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Gale</author>
  </authors>
  <commentList>
    <comment ref="K31" authorId="0" shapeId="0" xr:uid="{0D8D1936-8F78-450F-B692-D6924740DBD5}">
      <text>
        <r>
          <rPr>
            <b/>
            <sz val="9"/>
            <color indexed="81"/>
            <rFont val="Tahoma"/>
            <family val="2"/>
          </rPr>
          <t>Gale:</t>
        </r>
        <r>
          <rPr>
            <sz val="9"/>
            <color indexed="81"/>
            <rFont val="Tahoma"/>
            <family val="2"/>
          </rPr>
          <t xml:space="preserve">
Molti buybacks
</t>
        </r>
      </text>
    </comment>
  </commentList>
</comments>
</file>

<file path=xl/sharedStrings.xml><?xml version="1.0" encoding="utf-8"?>
<sst xmlns="http://schemas.openxmlformats.org/spreadsheetml/2006/main" count="92" uniqueCount="84">
  <si>
    <t>Price</t>
  </si>
  <si>
    <t>SO</t>
  </si>
  <si>
    <t>MC</t>
  </si>
  <si>
    <t>Cash</t>
  </si>
  <si>
    <t>Debt</t>
  </si>
  <si>
    <t>Net Cash</t>
  </si>
  <si>
    <t>EV</t>
  </si>
  <si>
    <t>Q1 2022</t>
  </si>
  <si>
    <t>USD</t>
  </si>
  <si>
    <t>M</t>
  </si>
  <si>
    <t>Revenues</t>
  </si>
  <si>
    <t>COGS</t>
  </si>
  <si>
    <t>Gross Profits</t>
  </si>
  <si>
    <t>R&amp;D</t>
  </si>
  <si>
    <t>M&amp;S</t>
  </si>
  <si>
    <t>G&amp;A</t>
  </si>
  <si>
    <t>Operative income</t>
  </si>
  <si>
    <t>Interest</t>
  </si>
  <si>
    <t>Income before tax</t>
  </si>
  <si>
    <t>Tax</t>
  </si>
  <si>
    <t>Net Income</t>
  </si>
  <si>
    <t>EPS</t>
  </si>
  <si>
    <t>Shares number</t>
  </si>
  <si>
    <t>Q4 2021</t>
  </si>
  <si>
    <t>Q3 2021</t>
  </si>
  <si>
    <t>Q2 2021</t>
  </si>
  <si>
    <t>Q1 2021</t>
  </si>
  <si>
    <t>Q4 2020</t>
  </si>
  <si>
    <t>Q3 2020</t>
  </si>
  <si>
    <t>Q2 2020</t>
  </si>
  <si>
    <t>Q1 2020</t>
  </si>
  <si>
    <t>Q2 2022</t>
  </si>
  <si>
    <t>Q3 2022</t>
  </si>
  <si>
    <t>Q4 2022</t>
  </si>
  <si>
    <t>Gross margin</t>
  </si>
  <si>
    <t>Profit Margin</t>
  </si>
  <si>
    <t>Net Margin</t>
  </si>
  <si>
    <t>Tax rate</t>
  </si>
  <si>
    <t>Revenue Growth Y/Y</t>
  </si>
  <si>
    <t>3% errore nelle loro stime delle famiglie utilizzatrici</t>
  </si>
  <si>
    <t>DAU</t>
  </si>
  <si>
    <t>Daily Active Users</t>
  </si>
  <si>
    <t>MAU</t>
  </si>
  <si>
    <t>Monthly Active Users</t>
  </si>
  <si>
    <t>ARPU</t>
  </si>
  <si>
    <t>Average revenue per user</t>
  </si>
  <si>
    <t>Provano a contare non il singolo account ma il singolo utilizzatore di più account</t>
  </si>
  <si>
    <t>Stimano che l'11% del loro MAU sia fake e che il 5% del MAU sia fake</t>
  </si>
  <si>
    <t>Reported Net Income</t>
  </si>
  <si>
    <t>CFFI</t>
  </si>
  <si>
    <t>CFF</t>
  </si>
  <si>
    <t>Free Cash Flow</t>
  </si>
  <si>
    <t>CFFO</t>
  </si>
  <si>
    <t>Buybacks</t>
  </si>
  <si>
    <t>Stock base compensation</t>
  </si>
  <si>
    <t>136 M shares</t>
  </si>
  <si>
    <t>Ritireranno quindi</t>
  </si>
  <si>
    <t xml:space="preserve">M </t>
  </si>
  <si>
    <t xml:space="preserve">In azioni </t>
  </si>
  <si>
    <t xml:space="preserve">Continueranno ad investire e a spendere quindi produrrà una riduzione dei loro margini </t>
  </si>
  <si>
    <t>"competitive products and services have reduced some users' engagement with our products and services"</t>
  </si>
  <si>
    <t>&gt; Tik Tok?</t>
  </si>
  <si>
    <t>"In addition, the appreciation of the U.S. dollar relative to other foreign currencies had a negative impact on our advertising revenue in the first quarter of 2022. General economic uncertainty as a result of these conditions globally or regionally may adversely affect advertising demand and therefore our revenue and business."</t>
  </si>
  <si>
    <t>I reels fanno schifo e sono la brutta copia di tik tok</t>
  </si>
  <si>
    <t>Utenti in crescita ma la crescita decellera</t>
  </si>
  <si>
    <t>Hanno perso visite in Ukraina e in Russia sono stati banditi</t>
  </si>
  <si>
    <t>Reality labs = vendono visori e cose per fare le video chiamate</t>
  </si>
  <si>
    <t>Facebook si è più volte risollevata come quando è passata dal PC al Mobile o quando ha incorporato le storie contro Snapchat…ma secondo me sono arrivati troppo tardi con tik tok</t>
  </si>
  <si>
    <t>ARPU in diminuzione</t>
  </si>
  <si>
    <t>32 a trimestre?</t>
  </si>
  <si>
    <t>Discount rate</t>
  </si>
  <si>
    <t>NPV</t>
  </si>
  <si>
    <t>Sopra/Sottovalutata</t>
  </si>
  <si>
    <t>Net cash</t>
  </si>
  <si>
    <t>Net cash per share</t>
  </si>
  <si>
    <t>Intrinsic Value</t>
  </si>
  <si>
    <t>Current price</t>
  </si>
  <si>
    <t>Share Change</t>
  </si>
  <si>
    <t>Valutazione tramite il Book Value</t>
  </si>
  <si>
    <t>Book value per share</t>
  </si>
  <si>
    <t>Book value</t>
  </si>
  <si>
    <t>ROE(TTM)</t>
  </si>
  <si>
    <t>Earning (TTM)</t>
  </si>
  <si>
    <t>Valutazione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</si>
</sst>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#,##0.00_ ;[Red]\-#,##0.0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3" fontId="0" fillId="0" borderId="0" xfId="0" applyNumberFormat="1"/>
    <xf numFmtId="14" fontId="0" fillId="0" borderId="0" xfId="0" applyNumberFormat="1"/>
    <xf numFmtId="4" fontId="0" fillId="0" borderId="0" xfId="0" applyNumberFormat="1"/>
    <xf numFmtId="0" fontId="0" fillId="2" borderId="0" xfId="0" applyFill="1"/>
    <xf numFmtId="3" fontId="0" fillId="2" borderId="0" xfId="0" applyNumberFormat="1" applyFill="1"/>
    <xf numFmtId="9" fontId="0" fillId="0" borderId="0" xfId="1" applyFont="1"/>
    <xf numFmtId="9" fontId="0" fillId="0" borderId="0" xfId="0" applyNumberFormat="1"/>
    <xf numFmtId="0" fontId="4" fillId="0" borderId="0" xfId="0" applyFont="1"/>
    <xf numFmtId="173" fontId="0" fillId="2" borderId="0" xfId="0" applyNumberFormat="1" applyFill="1"/>
    <xf numFmtId="0" fontId="0" fillId="3" borderId="0" xfId="0" applyFill="1"/>
    <xf numFmtId="10" fontId="0" fillId="3" borderId="0" xfId="0" applyNumberFormat="1" applyFill="1"/>
    <xf numFmtId="4" fontId="0" fillId="2" borderId="0" xfId="0" applyNumberFormat="1" applyFill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2</xdr:row>
      <xdr:rowOff>106680</xdr:rowOff>
    </xdr:from>
    <xdr:to>
      <xdr:col>11</xdr:col>
      <xdr:colOff>45720</xdr:colOff>
      <xdr:row>35</xdr:row>
      <xdr:rowOff>22860</xdr:rowOff>
    </xdr:to>
    <xdr:cxnSp macro="">
      <xdr:nvCxnSpPr>
        <xdr:cNvPr id="3" name="Connettore 2 2">
          <a:extLst>
            <a:ext uri="{FF2B5EF4-FFF2-40B4-BE49-F238E27FC236}">
              <a16:creationId xmlns:a16="http://schemas.microsoft.com/office/drawing/2014/main" id="{044E5D7A-1603-B5F5-201C-02D29BEBC07B}"/>
            </a:ext>
          </a:extLst>
        </xdr:cNvPr>
        <xdr:cNvCxnSpPr/>
      </xdr:nvCxnSpPr>
      <xdr:spPr>
        <a:xfrm>
          <a:off x="8199120" y="1569720"/>
          <a:ext cx="7620" cy="57683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60960</xdr:colOff>
      <xdr:row>1</xdr:row>
      <xdr:rowOff>30480</xdr:rowOff>
    </xdr:from>
    <xdr:to>
      <xdr:col>21</xdr:col>
      <xdr:colOff>68580</xdr:colOff>
      <xdr:row>35</xdr:row>
      <xdr:rowOff>15240</xdr:rowOff>
    </xdr:to>
    <xdr:cxnSp macro="">
      <xdr:nvCxnSpPr>
        <xdr:cNvPr id="5" name="Connettore 2 4">
          <a:extLst>
            <a:ext uri="{FF2B5EF4-FFF2-40B4-BE49-F238E27FC236}">
              <a16:creationId xmlns:a16="http://schemas.microsoft.com/office/drawing/2014/main" id="{46187DA1-9B23-6885-CA4F-B2F5A5726920}"/>
            </a:ext>
          </a:extLst>
        </xdr:cNvPr>
        <xdr:cNvCxnSpPr/>
      </xdr:nvCxnSpPr>
      <xdr:spPr>
        <a:xfrm>
          <a:off x="14317980" y="213360"/>
          <a:ext cx="7620" cy="62026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D2A32-453E-436C-859E-B1665D7E4BF2}">
  <dimension ref="A3:K31"/>
  <sheetViews>
    <sheetView workbookViewId="0">
      <selection activeCell="J15" sqref="J15"/>
    </sheetView>
  </sheetViews>
  <sheetFormatPr defaultRowHeight="14.4" x14ac:dyDescent="0.3"/>
  <cols>
    <col min="6" max="6" width="14.77734375" bestFit="1" customWidth="1"/>
    <col min="7" max="7" width="10.5546875" bestFit="1" customWidth="1"/>
    <col min="8" max="8" width="9.88671875" customWidth="1"/>
    <col min="9" max="9" width="22" bestFit="1" customWidth="1"/>
    <col min="10" max="10" width="11.77734375" bestFit="1" customWidth="1"/>
  </cols>
  <sheetData>
    <row r="3" spans="1:11" x14ac:dyDescent="0.3">
      <c r="E3" t="s">
        <v>0</v>
      </c>
      <c r="F3" s="4">
        <v>167.2</v>
      </c>
      <c r="G3" s="3">
        <v>44760</v>
      </c>
      <c r="H3" t="s">
        <v>8</v>
      </c>
    </row>
    <row r="4" spans="1:11" x14ac:dyDescent="0.3">
      <c r="E4" t="s">
        <v>1</v>
      </c>
      <c r="F4" s="2">
        <f>2744</f>
        <v>2744</v>
      </c>
      <c r="G4" t="s">
        <v>7</v>
      </c>
    </row>
    <row r="5" spans="1:11" x14ac:dyDescent="0.3">
      <c r="E5" t="s">
        <v>2</v>
      </c>
      <c r="F5" s="2">
        <f>F3*F4</f>
        <v>458796.79999999999</v>
      </c>
    </row>
    <row r="6" spans="1:11" x14ac:dyDescent="0.3">
      <c r="E6" t="s">
        <v>3</v>
      </c>
      <c r="F6" s="2">
        <f>14886+29004+6775</f>
        <v>50665</v>
      </c>
      <c r="G6" t="s">
        <v>7</v>
      </c>
    </row>
    <row r="7" spans="1:11" x14ac:dyDescent="0.3">
      <c r="E7" t="s">
        <v>4</v>
      </c>
      <c r="F7" s="2">
        <v>0</v>
      </c>
      <c r="G7" t="s">
        <v>7</v>
      </c>
    </row>
    <row r="8" spans="1:11" x14ac:dyDescent="0.3">
      <c r="E8" t="s">
        <v>5</v>
      </c>
      <c r="F8" s="2">
        <f>F6-F7</f>
        <v>50665</v>
      </c>
      <c r="G8" t="s">
        <v>9</v>
      </c>
    </row>
    <row r="9" spans="1:11" x14ac:dyDescent="0.3">
      <c r="E9" s="5" t="s">
        <v>6</v>
      </c>
      <c r="F9" s="6">
        <f>F5-F8</f>
        <v>408131.8</v>
      </c>
    </row>
    <row r="12" spans="1:11" x14ac:dyDescent="0.3">
      <c r="A12" t="s">
        <v>40</v>
      </c>
      <c r="B12" t="s">
        <v>41</v>
      </c>
      <c r="I12" t="s">
        <v>53</v>
      </c>
      <c r="J12" s="2">
        <v>38790</v>
      </c>
    </row>
    <row r="13" spans="1:11" x14ac:dyDescent="0.3">
      <c r="A13" t="s">
        <v>42</v>
      </c>
      <c r="B13" t="s">
        <v>43</v>
      </c>
      <c r="I13" t="s">
        <v>54</v>
      </c>
      <c r="J13" t="s">
        <v>55</v>
      </c>
      <c r="K13" s="2">
        <f>F3*136</f>
        <v>22739.199999999997</v>
      </c>
    </row>
    <row r="14" spans="1:11" x14ac:dyDescent="0.3">
      <c r="A14" t="s">
        <v>44</v>
      </c>
      <c r="B14" t="s">
        <v>45</v>
      </c>
      <c r="I14" t="s">
        <v>56</v>
      </c>
      <c r="J14" s="2">
        <f>J12-K13</f>
        <v>16050.800000000003</v>
      </c>
      <c r="K14" t="s">
        <v>9</v>
      </c>
    </row>
    <row r="15" spans="1:11" x14ac:dyDescent="0.3">
      <c r="I15" t="s">
        <v>58</v>
      </c>
      <c r="J15" s="2">
        <f>J14/F3</f>
        <v>95.997607655502421</v>
      </c>
      <c r="K15" t="s">
        <v>57</v>
      </c>
    </row>
    <row r="16" spans="1:11" x14ac:dyDescent="0.3">
      <c r="A16" t="s">
        <v>46</v>
      </c>
      <c r="J16" t="s">
        <v>69</v>
      </c>
    </row>
    <row r="17" spans="1:9" x14ac:dyDescent="0.3">
      <c r="A17" t="s">
        <v>39</v>
      </c>
    </row>
    <row r="18" spans="1:9" x14ac:dyDescent="0.3">
      <c r="A18" t="s">
        <v>47</v>
      </c>
    </row>
    <row r="20" spans="1:9" x14ac:dyDescent="0.3">
      <c r="A20" t="s">
        <v>59</v>
      </c>
    </row>
    <row r="22" spans="1:9" x14ac:dyDescent="0.3">
      <c r="A22" s="9" t="s">
        <v>60</v>
      </c>
      <c r="I22" t="s">
        <v>61</v>
      </c>
    </row>
    <row r="23" spans="1:9" x14ac:dyDescent="0.3">
      <c r="A23" s="9" t="s">
        <v>63</v>
      </c>
    </row>
    <row r="24" spans="1:9" x14ac:dyDescent="0.3">
      <c r="A24" s="9" t="s">
        <v>64</v>
      </c>
    </row>
    <row r="25" spans="1:9" x14ac:dyDescent="0.3">
      <c r="A25" s="9" t="s">
        <v>65</v>
      </c>
    </row>
    <row r="26" spans="1:9" x14ac:dyDescent="0.3">
      <c r="A26" t="s">
        <v>62</v>
      </c>
    </row>
    <row r="28" spans="1:9" x14ac:dyDescent="0.3">
      <c r="A28" s="9" t="s">
        <v>66</v>
      </c>
    </row>
    <row r="30" spans="1:9" x14ac:dyDescent="0.3">
      <c r="A30" t="s">
        <v>67</v>
      </c>
    </row>
    <row r="31" spans="1:9" x14ac:dyDescent="0.3">
      <c r="A31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54DC4-30C7-4285-B2E7-AB455704E67E}">
  <dimension ref="B2:DE48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Y30" sqref="Y30"/>
    </sheetView>
  </sheetViews>
  <sheetFormatPr defaultRowHeight="14.4" x14ac:dyDescent="0.3"/>
  <cols>
    <col min="1" max="1" width="20.21875" bestFit="1" customWidth="1"/>
    <col min="2" max="2" width="18" bestFit="1" customWidth="1"/>
    <col min="11" max="11" width="9.6640625" customWidth="1"/>
    <col min="24" max="24" width="16" bestFit="1" customWidth="1"/>
  </cols>
  <sheetData>
    <row r="2" spans="2:109" x14ac:dyDescent="0.3">
      <c r="C2" t="s">
        <v>30</v>
      </c>
      <c r="D2" t="s">
        <v>29</v>
      </c>
      <c r="E2" t="s">
        <v>28</v>
      </c>
      <c r="F2" t="s">
        <v>27</v>
      </c>
      <c r="G2" t="s">
        <v>26</v>
      </c>
      <c r="H2" t="s">
        <v>25</v>
      </c>
      <c r="I2" t="s">
        <v>24</v>
      </c>
      <c r="J2" t="s">
        <v>23</v>
      </c>
      <c r="K2" t="s">
        <v>7</v>
      </c>
      <c r="L2" t="s">
        <v>31</v>
      </c>
      <c r="M2" t="s">
        <v>32</v>
      </c>
      <c r="N2" t="s">
        <v>33</v>
      </c>
      <c r="Q2">
        <v>2017</v>
      </c>
      <c r="R2">
        <v>2018</v>
      </c>
      <c r="S2">
        <v>2019</v>
      </c>
      <c r="T2">
        <v>2020</v>
      </c>
      <c r="U2">
        <v>2021</v>
      </c>
      <c r="V2">
        <v>2022</v>
      </c>
      <c r="W2">
        <v>2023</v>
      </c>
      <c r="X2">
        <v>2024</v>
      </c>
      <c r="Y2">
        <v>2025</v>
      </c>
      <c r="Z2">
        <v>2026</v>
      </c>
      <c r="AA2">
        <v>2027</v>
      </c>
    </row>
    <row r="3" spans="2:109" x14ac:dyDescent="0.3">
      <c r="B3" t="s">
        <v>10</v>
      </c>
      <c r="C3" s="2">
        <v>17737</v>
      </c>
      <c r="D3" s="2">
        <v>18687</v>
      </c>
      <c r="E3" s="2">
        <v>21470</v>
      </c>
      <c r="F3" s="2">
        <f>85965-E3-D3-C3</f>
        <v>28071</v>
      </c>
      <c r="G3" s="2">
        <v>26171</v>
      </c>
      <c r="H3" s="2">
        <v>29077</v>
      </c>
      <c r="I3" s="2">
        <v>29010</v>
      </c>
      <c r="J3" s="2">
        <f>117929-I3-H3-G3</f>
        <v>33671</v>
      </c>
      <c r="K3" s="2">
        <v>27908</v>
      </c>
      <c r="L3" s="2">
        <f>H3*1.02</f>
        <v>29658.54</v>
      </c>
      <c r="M3" s="2">
        <f t="shared" ref="M3:N3" si="0">I3*1.02</f>
        <v>29590.2</v>
      </c>
      <c r="N3" s="2">
        <f t="shared" si="0"/>
        <v>34344.42</v>
      </c>
      <c r="Q3" s="2">
        <v>40653</v>
      </c>
      <c r="R3" s="2">
        <v>55838</v>
      </c>
      <c r="S3" s="2">
        <v>70697</v>
      </c>
      <c r="T3" s="2">
        <f>SUM(C3:F3)</f>
        <v>85965</v>
      </c>
      <c r="U3" s="2">
        <f>SUM(G3:J3)</f>
        <v>117929</v>
      </c>
      <c r="V3" s="2">
        <f>SUM(K3:N3)</f>
        <v>121501.16</v>
      </c>
      <c r="W3" s="2">
        <f>V3+V3*W23</f>
        <v>130006.2412</v>
      </c>
      <c r="X3" s="2">
        <f t="shared" ref="X3:AA3" si="1">W3+W3*X23</f>
        <v>139106.67808400001</v>
      </c>
      <c r="Y3" s="2">
        <f t="shared" si="1"/>
        <v>148844.14554988002</v>
      </c>
      <c r="Z3" s="2">
        <f t="shared" si="1"/>
        <v>159263.23573837162</v>
      </c>
      <c r="AA3" s="2">
        <f t="shared" si="1"/>
        <v>170411.66224005763</v>
      </c>
    </row>
    <row r="4" spans="2:109" x14ac:dyDescent="0.3">
      <c r="B4" t="s">
        <v>11</v>
      </c>
      <c r="C4" s="2">
        <v>3459</v>
      </c>
      <c r="D4" s="2">
        <v>3829</v>
      </c>
      <c r="E4" s="2">
        <v>4194</v>
      </c>
      <c r="F4" s="2">
        <f>16692-E4-D4-C4</f>
        <v>5210</v>
      </c>
      <c r="G4" s="2">
        <v>5131</v>
      </c>
      <c r="H4" s="2">
        <v>5399</v>
      </c>
      <c r="I4" s="2">
        <v>5771</v>
      </c>
      <c r="J4" s="2">
        <f>22649-I4-H4-G4</f>
        <v>6348</v>
      </c>
      <c r="K4" s="2">
        <v>6005</v>
      </c>
      <c r="L4" s="2">
        <f>H4*1.3</f>
        <v>7018.7</v>
      </c>
      <c r="M4" s="2">
        <f t="shared" ref="M4:N4" si="2">I4*1.3</f>
        <v>7502.3</v>
      </c>
      <c r="N4" s="2">
        <f t="shared" si="2"/>
        <v>8252.4</v>
      </c>
      <c r="Q4" s="2">
        <v>5454</v>
      </c>
      <c r="R4" s="2">
        <v>9355</v>
      </c>
      <c r="S4" s="2">
        <v>12770</v>
      </c>
      <c r="T4" s="2">
        <f>SUM(C4:F4)</f>
        <v>16692</v>
      </c>
      <c r="U4" s="2">
        <f>SUM(G4:J4)</f>
        <v>22649</v>
      </c>
      <c r="V4" s="2">
        <f>SUM(K4:N4)</f>
        <v>28778.400000000001</v>
      </c>
    </row>
    <row r="5" spans="2:109" x14ac:dyDescent="0.3">
      <c r="B5" t="s">
        <v>12</v>
      </c>
      <c r="C5" s="2">
        <f t="shared" ref="C5:J5" si="3">C3-C4</f>
        <v>14278</v>
      </c>
      <c r="D5" s="2">
        <f t="shared" si="3"/>
        <v>14858</v>
      </c>
      <c r="E5" s="2">
        <f t="shared" si="3"/>
        <v>17276</v>
      </c>
      <c r="F5" s="2">
        <f t="shared" si="3"/>
        <v>22861</v>
      </c>
      <c r="G5" s="2">
        <f t="shared" si="3"/>
        <v>21040</v>
      </c>
      <c r="H5" s="2">
        <f t="shared" si="3"/>
        <v>23678</v>
      </c>
      <c r="I5" s="2">
        <f t="shared" si="3"/>
        <v>23239</v>
      </c>
      <c r="J5" s="2">
        <f t="shared" si="3"/>
        <v>27323</v>
      </c>
      <c r="K5" s="2">
        <f>K3-K4</f>
        <v>21903</v>
      </c>
      <c r="L5" s="2">
        <f t="shared" ref="L5:N5" si="4">L3-L4</f>
        <v>22639.84</v>
      </c>
      <c r="M5" s="2">
        <f t="shared" si="4"/>
        <v>22087.9</v>
      </c>
      <c r="N5" s="2">
        <f t="shared" si="4"/>
        <v>26092.019999999997</v>
      </c>
      <c r="Q5" s="2">
        <f>Q3-Q4</f>
        <v>35199</v>
      </c>
      <c r="R5" s="2">
        <f>R3-R4</f>
        <v>46483</v>
      </c>
      <c r="S5" s="2">
        <f>S3-S4</f>
        <v>57927</v>
      </c>
      <c r="T5" s="2">
        <f>T3-T4</f>
        <v>69273</v>
      </c>
      <c r="U5" s="2">
        <f>U3-U4</f>
        <v>95280</v>
      </c>
      <c r="V5" s="2">
        <f>V3-V4</f>
        <v>92722.760000000009</v>
      </c>
    </row>
    <row r="6" spans="2:109" x14ac:dyDescent="0.3">
      <c r="B6" t="s">
        <v>13</v>
      </c>
      <c r="C6" s="2">
        <v>4015</v>
      </c>
      <c r="D6" s="2">
        <v>4462</v>
      </c>
      <c r="E6" s="2">
        <v>4763</v>
      </c>
      <c r="F6" s="2">
        <f>18447-E6-D6-C6</f>
        <v>5207</v>
      </c>
      <c r="G6" s="2">
        <v>5197</v>
      </c>
      <c r="H6" s="2">
        <v>6096</v>
      </c>
      <c r="I6" s="2">
        <v>6316</v>
      </c>
      <c r="J6" s="2">
        <f>24655-I6-H6-G6</f>
        <v>7046</v>
      </c>
      <c r="K6" s="2">
        <v>7707</v>
      </c>
      <c r="L6" s="2">
        <f>H6*1.25</f>
        <v>7620</v>
      </c>
      <c r="M6" s="2">
        <f t="shared" ref="M6:N8" si="5">I6*1.25</f>
        <v>7895</v>
      </c>
      <c r="N6" s="2">
        <f t="shared" si="5"/>
        <v>8807.5</v>
      </c>
      <c r="Q6" s="2">
        <v>7754</v>
      </c>
      <c r="R6" s="2">
        <v>10273</v>
      </c>
      <c r="S6" s="2">
        <v>13600</v>
      </c>
      <c r="T6" s="2">
        <f>SUM(C6:F6)</f>
        <v>18447</v>
      </c>
      <c r="U6" s="2">
        <f>SUM(G6:J6)</f>
        <v>24655</v>
      </c>
      <c r="V6" s="2">
        <f>SUM(K6:N6)</f>
        <v>32029.5</v>
      </c>
    </row>
    <row r="7" spans="2:109" x14ac:dyDescent="0.3">
      <c r="B7" t="s">
        <v>14</v>
      </c>
      <c r="C7" s="2">
        <v>2787</v>
      </c>
      <c r="D7" s="2">
        <v>2840</v>
      </c>
      <c r="E7" s="2">
        <v>2683</v>
      </c>
      <c r="F7" s="2">
        <f>11591-E7-D7-C7</f>
        <v>3281</v>
      </c>
      <c r="G7" s="2">
        <v>2843</v>
      </c>
      <c r="H7" s="2">
        <v>3259</v>
      </c>
      <c r="I7" s="2">
        <v>3554</v>
      </c>
      <c r="J7" s="2">
        <f>14043-I7-H7-G7</f>
        <v>4387</v>
      </c>
      <c r="K7" s="2">
        <v>3312</v>
      </c>
      <c r="L7" s="2">
        <f t="shared" ref="L7:L8" si="6">H7*1.25</f>
        <v>4073.75</v>
      </c>
      <c r="M7" s="2">
        <f t="shared" si="5"/>
        <v>4442.5</v>
      </c>
      <c r="N7" s="2">
        <f t="shared" si="5"/>
        <v>5483.75</v>
      </c>
      <c r="Q7" s="2">
        <v>4725</v>
      </c>
      <c r="R7" s="2">
        <v>7846</v>
      </c>
      <c r="S7" s="2">
        <v>9876</v>
      </c>
      <c r="T7" s="2">
        <f t="shared" ref="T7:T12" si="7">SUM(C7:F7)</f>
        <v>11591</v>
      </c>
      <c r="U7" s="2">
        <f>SUM(G7:J7)</f>
        <v>14043</v>
      </c>
      <c r="V7" s="2">
        <f>SUM(K7:N7)</f>
        <v>17312</v>
      </c>
    </row>
    <row r="8" spans="2:109" x14ac:dyDescent="0.3">
      <c r="B8" t="s">
        <v>15</v>
      </c>
      <c r="C8" s="2">
        <v>1583</v>
      </c>
      <c r="D8" s="2">
        <v>1593</v>
      </c>
      <c r="E8" s="2">
        <v>1790</v>
      </c>
      <c r="F8" s="2">
        <f>6564-E8-D8-C8</f>
        <v>1598</v>
      </c>
      <c r="G8" s="2">
        <v>1622</v>
      </c>
      <c r="H8" s="2">
        <v>1956</v>
      </c>
      <c r="I8" s="2">
        <v>2946</v>
      </c>
      <c r="J8" s="2">
        <f>9829-I8-H8-G8</f>
        <v>3305</v>
      </c>
      <c r="K8" s="2">
        <v>2360</v>
      </c>
      <c r="L8" s="2">
        <f t="shared" si="6"/>
        <v>2445</v>
      </c>
      <c r="M8" s="2">
        <f t="shared" si="5"/>
        <v>3682.5</v>
      </c>
      <c r="N8" s="2">
        <f t="shared" si="5"/>
        <v>4131.25</v>
      </c>
      <c r="Q8" s="2">
        <v>2517</v>
      </c>
      <c r="R8" s="2">
        <v>3451</v>
      </c>
      <c r="S8" s="2">
        <v>10465</v>
      </c>
      <c r="T8" s="2">
        <f t="shared" si="7"/>
        <v>6564</v>
      </c>
      <c r="U8" s="2">
        <f>SUM(G8:J8)</f>
        <v>9829</v>
      </c>
      <c r="V8" s="2">
        <f>SUM(K8:N8)</f>
        <v>12618.75</v>
      </c>
    </row>
    <row r="9" spans="2:109" x14ac:dyDescent="0.3">
      <c r="B9" t="s">
        <v>16</v>
      </c>
      <c r="C9" s="2">
        <f t="shared" ref="C9:J9" si="8">C5-C6-C7-C8</f>
        <v>5893</v>
      </c>
      <c r="D9" s="2">
        <f t="shared" si="8"/>
        <v>5963</v>
      </c>
      <c r="E9" s="2">
        <f t="shared" si="8"/>
        <v>8040</v>
      </c>
      <c r="F9" s="2">
        <f t="shared" si="8"/>
        <v>12775</v>
      </c>
      <c r="G9" s="2">
        <f t="shared" si="8"/>
        <v>11378</v>
      </c>
      <c r="H9" s="2">
        <f t="shared" si="8"/>
        <v>12367</v>
      </c>
      <c r="I9" s="2">
        <f t="shared" si="8"/>
        <v>10423</v>
      </c>
      <c r="J9" s="2">
        <f t="shared" si="8"/>
        <v>12585</v>
      </c>
      <c r="K9" s="2">
        <f>K5-K6-K7-K8</f>
        <v>8524</v>
      </c>
      <c r="L9" s="2">
        <f t="shared" ref="L9:N9" si="9">L5-L6-L7-L8</f>
        <v>8501.09</v>
      </c>
      <c r="M9" s="2">
        <f t="shared" si="9"/>
        <v>6067.9000000000015</v>
      </c>
      <c r="N9" s="2">
        <f t="shared" si="9"/>
        <v>7669.5199999999968</v>
      </c>
      <c r="Q9" s="2">
        <f>Q5-Q6-Q7-Q8</f>
        <v>20203</v>
      </c>
      <c r="R9" s="2">
        <f>R5-R6-R7-R8</f>
        <v>24913</v>
      </c>
      <c r="S9" s="2">
        <f>S5-S6-S7-S8</f>
        <v>23986</v>
      </c>
      <c r="T9" s="2">
        <f>T5-T6-T7-T8</f>
        <v>32671</v>
      </c>
      <c r="U9" s="2">
        <f>U5-U6-U7-U8</f>
        <v>46753</v>
      </c>
      <c r="V9" s="2">
        <f>V5-V6-V7-V8</f>
        <v>30762.510000000009</v>
      </c>
    </row>
    <row r="10" spans="2:109" x14ac:dyDescent="0.3">
      <c r="B10" t="s">
        <v>17</v>
      </c>
      <c r="C10" s="2">
        <v>-32</v>
      </c>
      <c r="D10" s="2">
        <v>168</v>
      </c>
      <c r="E10" s="2">
        <v>93</v>
      </c>
      <c r="F10" s="2">
        <f>509-E10-D10-C10</f>
        <v>280</v>
      </c>
      <c r="G10" s="2">
        <v>125</v>
      </c>
      <c r="H10" s="2">
        <v>146</v>
      </c>
      <c r="I10" s="2">
        <v>142</v>
      </c>
      <c r="J10" s="2">
        <f>531-I10-H10-G10</f>
        <v>118</v>
      </c>
      <c r="K10" s="2">
        <v>384</v>
      </c>
      <c r="L10" s="2">
        <v>384</v>
      </c>
      <c r="M10" s="2">
        <v>384</v>
      </c>
      <c r="N10" s="2">
        <v>384</v>
      </c>
      <c r="Q10" s="2">
        <v>391</v>
      </c>
      <c r="R10" s="2">
        <v>448</v>
      </c>
      <c r="S10" s="2">
        <v>826</v>
      </c>
      <c r="T10" s="2">
        <f t="shared" si="7"/>
        <v>509</v>
      </c>
      <c r="U10" s="2">
        <f>SUM(G10:J10)</f>
        <v>531</v>
      </c>
      <c r="V10" s="2">
        <f>SUM(K10:N10)</f>
        <v>1536</v>
      </c>
    </row>
    <row r="11" spans="2:109" x14ac:dyDescent="0.3">
      <c r="B11" t="s">
        <v>18</v>
      </c>
      <c r="C11" s="2">
        <f t="shared" ref="C11:J11" si="10">C9+C10</f>
        <v>5861</v>
      </c>
      <c r="D11" s="2">
        <f t="shared" si="10"/>
        <v>6131</v>
      </c>
      <c r="E11" s="2">
        <f t="shared" si="10"/>
        <v>8133</v>
      </c>
      <c r="F11" s="2">
        <f t="shared" si="10"/>
        <v>13055</v>
      </c>
      <c r="G11" s="2">
        <f t="shared" si="10"/>
        <v>11503</v>
      </c>
      <c r="H11" s="2">
        <f t="shared" si="10"/>
        <v>12513</v>
      </c>
      <c r="I11" s="2">
        <f t="shared" si="10"/>
        <v>10565</v>
      </c>
      <c r="J11" s="2">
        <f t="shared" si="10"/>
        <v>12703</v>
      </c>
      <c r="K11" s="2">
        <f>K9+K10</f>
        <v>8908</v>
      </c>
      <c r="L11" s="2">
        <f t="shared" ref="L11:N11" si="11">L9+L10</f>
        <v>8885.09</v>
      </c>
      <c r="M11" s="2">
        <f t="shared" si="11"/>
        <v>6451.9000000000015</v>
      </c>
      <c r="N11" s="2">
        <f t="shared" si="11"/>
        <v>8053.5199999999968</v>
      </c>
      <c r="Q11" s="2">
        <f>Q9+Q10</f>
        <v>20594</v>
      </c>
      <c r="R11" s="2">
        <f>R9+R10</f>
        <v>25361</v>
      </c>
      <c r="S11" s="2">
        <f>S9+S10</f>
        <v>24812</v>
      </c>
      <c r="T11" s="2">
        <f>T9+T10</f>
        <v>33180</v>
      </c>
      <c r="U11" s="2">
        <f>U9+U10</f>
        <v>47284</v>
      </c>
      <c r="V11" s="2">
        <f>V9+V10</f>
        <v>32298.510000000009</v>
      </c>
    </row>
    <row r="12" spans="2:109" x14ac:dyDescent="0.3">
      <c r="B12" t="s">
        <v>19</v>
      </c>
      <c r="C12" s="2">
        <v>959</v>
      </c>
      <c r="D12" s="2">
        <v>953</v>
      </c>
      <c r="E12" s="2">
        <v>287</v>
      </c>
      <c r="F12" s="2">
        <f>4034-E12-D12-C12</f>
        <v>1835</v>
      </c>
      <c r="G12" s="2">
        <v>2006</v>
      </c>
      <c r="H12" s="2">
        <v>2119</v>
      </c>
      <c r="I12" s="2">
        <v>1372</v>
      </c>
      <c r="J12" s="2">
        <f>7914-I12-H12-G12</f>
        <v>2417</v>
      </c>
      <c r="K12" s="2">
        <v>1443</v>
      </c>
      <c r="L12" s="2">
        <f>L11*0.16</f>
        <v>1421.6144000000002</v>
      </c>
      <c r="M12" s="2">
        <f>M11*0.16</f>
        <v>1032.3040000000003</v>
      </c>
      <c r="N12" s="2">
        <f>N11*0.16</f>
        <v>1288.5631999999996</v>
      </c>
      <c r="Q12" s="2">
        <v>4660</v>
      </c>
      <c r="R12" s="2">
        <v>3249</v>
      </c>
      <c r="S12" s="2">
        <v>6327</v>
      </c>
      <c r="T12" s="2">
        <f t="shared" si="7"/>
        <v>4034</v>
      </c>
      <c r="U12" s="2">
        <f>SUM(G12:J12)</f>
        <v>7914</v>
      </c>
      <c r="V12" s="2">
        <f>SUM(K12:N12)</f>
        <v>5185.4816000000001</v>
      </c>
    </row>
    <row r="13" spans="2:109" x14ac:dyDescent="0.3">
      <c r="B13" t="s">
        <v>20</v>
      </c>
      <c r="C13" s="2">
        <f t="shared" ref="C13:J13" si="12">C11-C12</f>
        <v>4902</v>
      </c>
      <c r="D13" s="2">
        <f t="shared" si="12"/>
        <v>5178</v>
      </c>
      <c r="E13" s="2">
        <f t="shared" si="12"/>
        <v>7846</v>
      </c>
      <c r="F13" s="2">
        <f t="shared" si="12"/>
        <v>11220</v>
      </c>
      <c r="G13" s="2">
        <f t="shared" si="12"/>
        <v>9497</v>
      </c>
      <c r="H13" s="2">
        <f t="shared" si="12"/>
        <v>10394</v>
      </c>
      <c r="I13" s="2">
        <f t="shared" si="12"/>
        <v>9193</v>
      </c>
      <c r="J13" s="2">
        <f t="shared" si="12"/>
        <v>10286</v>
      </c>
      <c r="K13" s="2">
        <f>K11-K12</f>
        <v>7465</v>
      </c>
      <c r="L13" s="2">
        <f t="shared" ref="L13:N13" si="13">L11-L12</f>
        <v>7463.4755999999998</v>
      </c>
      <c r="M13" s="2">
        <f t="shared" si="13"/>
        <v>5419.5960000000014</v>
      </c>
      <c r="N13" s="2">
        <f t="shared" si="13"/>
        <v>6764.9567999999972</v>
      </c>
      <c r="Q13" s="2">
        <f>Q11-Q12</f>
        <v>15934</v>
      </c>
      <c r="R13" s="2">
        <f>R11-R12</f>
        <v>22112</v>
      </c>
      <c r="S13" s="2">
        <f>S11-S12</f>
        <v>18485</v>
      </c>
      <c r="T13" s="2">
        <f>T11-T12</f>
        <v>29146</v>
      </c>
      <c r="U13" s="2">
        <f>U11-U12</f>
        <v>39370</v>
      </c>
      <c r="V13" s="2">
        <f>V11-V12</f>
        <v>27113.02840000001</v>
      </c>
      <c r="W13" s="2">
        <f>W3*W21</f>
        <v>32501.560300000001</v>
      </c>
      <c r="X13" s="2">
        <f>X3*X21</f>
        <v>37558.80308268001</v>
      </c>
      <c r="Y13" s="2">
        <f>Y3*Y21</f>
        <v>44653.243664964008</v>
      </c>
      <c r="Z13" s="2">
        <f>Z3*Z21</f>
        <v>50964.235436278919</v>
      </c>
      <c r="AA13" s="2">
        <f>AA3*AA21</f>
        <v>56235.84853921902</v>
      </c>
    </row>
    <row r="14" spans="2:109" x14ac:dyDescent="0.3">
      <c r="B14" t="s">
        <v>21</v>
      </c>
      <c r="C14">
        <v>1.71</v>
      </c>
      <c r="D14">
        <v>1.8</v>
      </c>
      <c r="E14">
        <v>2.71</v>
      </c>
      <c r="F14">
        <f>10.09-E14-D14-C14</f>
        <v>3.87</v>
      </c>
      <c r="G14">
        <v>3.3</v>
      </c>
      <c r="H14">
        <v>3.61</v>
      </c>
      <c r="I14">
        <v>3.22</v>
      </c>
      <c r="J14">
        <f>13.77-I14-H14-G14</f>
        <v>3.6399999999999997</v>
      </c>
      <c r="K14">
        <v>2.72</v>
      </c>
      <c r="L14" s="1">
        <f>L13/L15</f>
        <v>2.7515266594017862</v>
      </c>
      <c r="M14" s="1">
        <f>M13/M15</f>
        <v>2.0218711932101856</v>
      </c>
      <c r="N14" s="1">
        <f>N13/N15</f>
        <v>2.5542738768552495</v>
      </c>
      <c r="Q14">
        <v>5.39</v>
      </c>
      <c r="R14">
        <v>7.65</v>
      </c>
      <c r="S14">
        <v>6.43</v>
      </c>
      <c r="T14" s="4">
        <f t="shared" ref="T14" si="14">SUM(C14:F14)</f>
        <v>10.09</v>
      </c>
      <c r="U14" s="4">
        <f>SUM(G14:J14)</f>
        <v>13.77</v>
      </c>
      <c r="V14" s="2">
        <f>SUM(K14:N14)</f>
        <v>10.047671729467222</v>
      </c>
      <c r="W14">
        <f>W13/W15</f>
        <v>12.417091604166167</v>
      </c>
      <c r="X14">
        <f t="shared" ref="X14:AA14" si="15">X13/X15</f>
        <v>14.792980471932399</v>
      </c>
      <c r="Y14">
        <f t="shared" si="15"/>
        <v>18.131144450134784</v>
      </c>
      <c r="Z14">
        <f t="shared" si="15"/>
        <v>21.333690239608764</v>
      </c>
      <c r="AA14">
        <f t="shared" si="15"/>
        <v>24.268447240998245</v>
      </c>
      <c r="AB14">
        <f>AA14*1.05</f>
        <v>25.48186960304816</v>
      </c>
      <c r="AC14">
        <f t="shared" ref="AC14:AF14" si="16">AB14*1.05</f>
        <v>26.755963083200569</v>
      </c>
      <c r="AD14">
        <f t="shared" si="16"/>
        <v>28.093761237360599</v>
      </c>
      <c r="AE14">
        <f t="shared" si="16"/>
        <v>29.498449299228632</v>
      </c>
      <c r="AF14">
        <f t="shared" si="16"/>
        <v>30.973371764190066</v>
      </c>
      <c r="AG14">
        <f t="shared" ref="AG14:AK14" si="17">AF14*1.01</f>
        <v>31.283105481831967</v>
      </c>
      <c r="AH14">
        <f t="shared" si="17"/>
        <v>31.595936536650289</v>
      </c>
      <c r="AI14">
        <f t="shared" si="17"/>
        <v>31.911895902016791</v>
      </c>
      <c r="AJ14">
        <f t="shared" si="17"/>
        <v>32.231014861036961</v>
      </c>
      <c r="AK14">
        <f t="shared" si="17"/>
        <v>32.553325009647331</v>
      </c>
      <c r="AL14">
        <f>AK14*0.95</f>
        <v>30.925658759164964</v>
      </c>
      <c r="AM14">
        <f t="shared" ref="AM14:CX14" si="18">AL14*0.95</f>
        <v>29.379375821206715</v>
      </c>
      <c r="AN14">
        <f t="shared" si="18"/>
        <v>27.910407030146377</v>
      </c>
      <c r="AO14">
        <f t="shared" si="18"/>
        <v>26.514886678639058</v>
      </c>
      <c r="AP14">
        <f t="shared" si="18"/>
        <v>25.189142344707104</v>
      </c>
      <c r="AQ14">
        <f t="shared" si="18"/>
        <v>23.929685227471747</v>
      </c>
      <c r="AR14">
        <f t="shared" si="18"/>
        <v>22.73320096609816</v>
      </c>
      <c r="AS14">
        <f t="shared" si="18"/>
        <v>21.596540917793252</v>
      </c>
      <c r="AT14">
        <f t="shared" si="18"/>
        <v>20.516713871903587</v>
      </c>
      <c r="AU14">
        <f t="shared" si="18"/>
        <v>19.490878178308407</v>
      </c>
      <c r="AV14">
        <f t="shared" si="18"/>
        <v>18.516334269392985</v>
      </c>
      <c r="AW14">
        <f t="shared" si="18"/>
        <v>17.590517555923334</v>
      </c>
      <c r="AX14">
        <f t="shared" si="18"/>
        <v>16.710991678127165</v>
      </c>
      <c r="AY14">
        <f t="shared" si="18"/>
        <v>15.875442094220807</v>
      </c>
      <c r="AZ14">
        <f t="shared" si="18"/>
        <v>15.081669989509766</v>
      </c>
      <c r="BA14">
        <f t="shared" si="18"/>
        <v>14.327586490034278</v>
      </c>
      <c r="BB14">
        <f t="shared" si="18"/>
        <v>13.611207165532564</v>
      </c>
      <c r="BC14">
        <f t="shared" si="18"/>
        <v>12.930646807255934</v>
      </c>
      <c r="BD14">
        <f t="shared" si="18"/>
        <v>12.284114466893136</v>
      </c>
      <c r="BE14">
        <f t="shared" si="18"/>
        <v>11.669908743548479</v>
      </c>
      <c r="BF14">
        <f t="shared" si="18"/>
        <v>11.086413306371055</v>
      </c>
      <c r="BG14">
        <f t="shared" si="18"/>
        <v>10.532092641052502</v>
      </c>
      <c r="BH14">
        <f t="shared" si="18"/>
        <v>10.005488008999876</v>
      </c>
      <c r="BI14">
        <f t="shared" si="18"/>
        <v>9.505213608549882</v>
      </c>
      <c r="BJ14">
        <f t="shared" si="18"/>
        <v>9.0299529281223876</v>
      </c>
      <c r="BK14">
        <f t="shared" si="18"/>
        <v>8.578455281716268</v>
      </c>
      <c r="BL14">
        <f t="shared" si="18"/>
        <v>8.1495325176304547</v>
      </c>
      <c r="BM14">
        <f t="shared" si="18"/>
        <v>7.7420558917489313</v>
      </c>
      <c r="BN14">
        <f t="shared" si="18"/>
        <v>7.3549530971614843</v>
      </c>
      <c r="BO14">
        <f t="shared" si="18"/>
        <v>6.9872054423034093</v>
      </c>
      <c r="BP14">
        <f t="shared" si="18"/>
        <v>6.6378451701882382</v>
      </c>
      <c r="BQ14">
        <f t="shared" si="18"/>
        <v>6.3059529116788262</v>
      </c>
      <c r="BR14">
        <f t="shared" si="18"/>
        <v>5.9906552660948842</v>
      </c>
      <c r="BS14">
        <f t="shared" si="18"/>
        <v>5.6911225027901393</v>
      </c>
      <c r="BT14">
        <f t="shared" si="18"/>
        <v>5.4065663776506323</v>
      </c>
      <c r="BU14">
        <f t="shared" si="18"/>
        <v>5.1362380587681002</v>
      </c>
      <c r="BV14">
        <f t="shared" si="18"/>
        <v>4.8794261558296954</v>
      </c>
      <c r="BW14">
        <f t="shared" si="18"/>
        <v>4.6354548480382105</v>
      </c>
      <c r="BX14">
        <f t="shared" si="18"/>
        <v>4.4036821056362996</v>
      </c>
      <c r="BY14">
        <f t="shared" si="18"/>
        <v>4.1834980003544846</v>
      </c>
      <c r="BZ14">
        <f t="shared" si="18"/>
        <v>3.9743231003367603</v>
      </c>
      <c r="CA14">
        <f t="shared" si="18"/>
        <v>3.7756069453199221</v>
      </c>
      <c r="CB14">
        <f t="shared" si="18"/>
        <v>3.5868265980539258</v>
      </c>
      <c r="CC14">
        <f t="shared" si="18"/>
        <v>3.4074852681512295</v>
      </c>
      <c r="CD14">
        <f t="shared" si="18"/>
        <v>3.2371110047436678</v>
      </c>
      <c r="CE14">
        <f t="shared" si="18"/>
        <v>3.0752554545064843</v>
      </c>
      <c r="CF14">
        <f t="shared" si="18"/>
        <v>2.9214926817811597</v>
      </c>
      <c r="CG14">
        <f t="shared" si="18"/>
        <v>2.7754180476921015</v>
      </c>
      <c r="CH14">
        <f t="shared" si="18"/>
        <v>2.6366471453074962</v>
      </c>
      <c r="CI14">
        <f t="shared" si="18"/>
        <v>2.5048147880421214</v>
      </c>
      <c r="CJ14">
        <f t="shared" si="18"/>
        <v>2.3795740486400154</v>
      </c>
      <c r="CK14">
        <f t="shared" si="18"/>
        <v>2.2605953462080146</v>
      </c>
      <c r="CL14">
        <f t="shared" si="18"/>
        <v>2.1475655788976136</v>
      </c>
      <c r="CM14">
        <f t="shared" si="18"/>
        <v>2.0401872999527328</v>
      </c>
      <c r="CN14">
        <f t="shared" si="18"/>
        <v>1.938177934955096</v>
      </c>
      <c r="CO14">
        <f t="shared" si="18"/>
        <v>1.8412690382073411</v>
      </c>
      <c r="CP14">
        <f t="shared" si="18"/>
        <v>1.749205586296974</v>
      </c>
      <c r="CQ14">
        <f t="shared" si="18"/>
        <v>1.6617453069821253</v>
      </c>
      <c r="CR14">
        <f t="shared" si="18"/>
        <v>1.5786580416330189</v>
      </c>
      <c r="CS14">
        <f t="shared" si="18"/>
        <v>1.499725139551368</v>
      </c>
      <c r="CT14">
        <f t="shared" si="18"/>
        <v>1.4247388825737994</v>
      </c>
      <c r="CU14">
        <f t="shared" si="18"/>
        <v>1.3535019384451095</v>
      </c>
      <c r="CV14">
        <f t="shared" si="18"/>
        <v>1.285826841522854</v>
      </c>
      <c r="CW14">
        <f t="shared" si="18"/>
        <v>1.2215354994467111</v>
      </c>
      <c r="CX14">
        <f t="shared" si="18"/>
        <v>1.1604587244743756</v>
      </c>
      <c r="CY14">
        <f t="shared" ref="CY14:DE14" si="19">CX14*0.95</f>
        <v>1.1024357882506568</v>
      </c>
      <c r="CZ14">
        <f t="shared" si="19"/>
        <v>1.0473139988381239</v>
      </c>
      <c r="DA14">
        <f t="shared" si="19"/>
        <v>0.99494829889621772</v>
      </c>
      <c r="DB14">
        <f t="shared" si="19"/>
        <v>0.94520088395140678</v>
      </c>
      <c r="DC14">
        <f t="shared" si="19"/>
        <v>0.89794083975383643</v>
      </c>
      <c r="DD14">
        <f t="shared" si="19"/>
        <v>0.85304379776614458</v>
      </c>
      <c r="DE14">
        <f t="shared" si="19"/>
        <v>0.81039160787783737</v>
      </c>
    </row>
    <row r="15" spans="2:109" x14ac:dyDescent="0.3">
      <c r="B15" t="s">
        <v>22</v>
      </c>
      <c r="C15" s="2">
        <f>C13/C14</f>
        <v>2866.6666666666665</v>
      </c>
      <c r="D15" s="2">
        <f>D13/D14</f>
        <v>2876.6666666666665</v>
      </c>
      <c r="E15" s="2">
        <f>E13/E14</f>
        <v>2895.2029520295205</v>
      </c>
      <c r="F15" s="2">
        <f>F13/F14</f>
        <v>2899.2248062015501</v>
      </c>
      <c r="G15" s="2">
        <f>G13/G14</f>
        <v>2877.878787878788</v>
      </c>
      <c r="H15" s="2">
        <f>H13/H14</f>
        <v>2879.2243767313021</v>
      </c>
      <c r="I15" s="2">
        <f>I13/I14</f>
        <v>2854.9689440993789</v>
      </c>
      <c r="J15" s="2">
        <f>J13/J14</f>
        <v>2825.8241758241761</v>
      </c>
      <c r="K15" s="2">
        <f>K13/K14</f>
        <v>2744.4852941176468</v>
      </c>
      <c r="L15" s="2">
        <f>K15-32</f>
        <v>2712.4852941176468</v>
      </c>
      <c r="M15" s="2">
        <f t="shared" ref="M15:N15" si="20">L15-32</f>
        <v>2680.4852941176468</v>
      </c>
      <c r="N15" s="2">
        <f t="shared" si="20"/>
        <v>2648.4852941176468</v>
      </c>
      <c r="Q15" s="2">
        <f>Q13/Q14</f>
        <v>2956.2152133580707</v>
      </c>
      <c r="R15" s="2">
        <f>R13/R14</f>
        <v>2890.457516339869</v>
      </c>
      <c r="S15" s="2">
        <f>S13/S14</f>
        <v>2874.8055987558323</v>
      </c>
      <c r="T15" s="2">
        <f>T13/T14</f>
        <v>2888.6025768087216</v>
      </c>
      <c r="U15" s="2">
        <f>U13/U14</f>
        <v>2859.114015976761</v>
      </c>
      <c r="V15" s="2">
        <f>V13/V14</f>
        <v>2698.4389150060019</v>
      </c>
      <c r="W15" s="2">
        <f>V15+V15*W17</f>
        <v>2617.4857475558219</v>
      </c>
      <c r="X15" s="2">
        <f t="shared" ref="X15:AA15" si="21">W15+W15*X17</f>
        <v>2538.9611751291473</v>
      </c>
      <c r="Y15" s="2">
        <f t="shared" si="21"/>
        <v>2462.7923398752728</v>
      </c>
      <c r="Z15" s="2">
        <f t="shared" si="21"/>
        <v>2388.9085696790144</v>
      </c>
      <c r="AA15" s="2">
        <f t="shared" si="21"/>
        <v>2317.2413125886437</v>
      </c>
    </row>
    <row r="17" spans="2:27" x14ac:dyDescent="0.3">
      <c r="B17" t="s">
        <v>77</v>
      </c>
      <c r="R17" s="7">
        <f>R15/Q15-1</f>
        <v>-2.2243880188785425E-2</v>
      </c>
      <c r="S17" s="7">
        <f>S15/R15-1</f>
        <v>-5.415031182972152E-3</v>
      </c>
      <c r="T17" s="7">
        <f>T15/S15-1</f>
        <v>4.7992734043862395E-3</v>
      </c>
      <c r="U17" s="7">
        <f>U15/T15-1</f>
        <v>-1.0208590502795656E-2</v>
      </c>
      <c r="V17" s="7">
        <f>V15/U15-1</f>
        <v>-5.6197514360359468E-2</v>
      </c>
      <c r="W17" s="8">
        <v>-0.03</v>
      </c>
      <c r="X17" s="8">
        <v>-0.03</v>
      </c>
      <c r="Y17" s="8">
        <v>-0.03</v>
      </c>
      <c r="Z17" s="8">
        <v>-0.03</v>
      </c>
      <c r="AA17" s="8">
        <v>-0.03</v>
      </c>
    </row>
    <row r="18" spans="2:27" x14ac:dyDescent="0.3">
      <c r="B18" t="s">
        <v>34</v>
      </c>
      <c r="C18" s="7">
        <f>C5/C3</f>
        <v>0.80498393189378137</v>
      </c>
      <c r="D18" s="7">
        <f>D5/D3</f>
        <v>0.7950981966072671</v>
      </c>
      <c r="E18" s="7">
        <f>E5/E3</f>
        <v>0.80465766185374943</v>
      </c>
      <c r="F18" s="7">
        <f>F5/F3</f>
        <v>0.81439920202344052</v>
      </c>
      <c r="G18" s="7">
        <f>G5/G3</f>
        <v>0.80394329601467274</v>
      </c>
      <c r="H18" s="7">
        <f>H5/H3</f>
        <v>0.81432059703545756</v>
      </c>
      <c r="I18" s="7">
        <f>I5/I3</f>
        <v>0.80106859703550504</v>
      </c>
      <c r="J18" s="7">
        <f>J5/J3</f>
        <v>0.81146981081642955</v>
      </c>
      <c r="K18" s="7">
        <f>K5/K3</f>
        <v>0.78482872294682526</v>
      </c>
      <c r="L18" s="7">
        <f t="shared" ref="L18:N18" si="22">L5/L3</f>
        <v>0.76334978053538705</v>
      </c>
      <c r="M18" s="7">
        <f t="shared" si="22"/>
        <v>0.74645997661387897</v>
      </c>
      <c r="N18" s="7">
        <f t="shared" si="22"/>
        <v>0.75971642555035135</v>
      </c>
      <c r="T18" s="7">
        <f>T5/T3</f>
        <v>0.80582795323678236</v>
      </c>
      <c r="U18" s="7">
        <f>U5/U3</f>
        <v>0.80794376277251567</v>
      </c>
      <c r="V18" s="7"/>
    </row>
    <row r="19" spans="2:27" x14ac:dyDescent="0.3">
      <c r="B19" t="s">
        <v>35</v>
      </c>
      <c r="C19" s="7">
        <f>C9/C3</f>
        <v>0.33224333314540228</v>
      </c>
      <c r="D19" s="7">
        <f>D9/D3</f>
        <v>0.31909883876491679</v>
      </c>
      <c r="E19" s="7">
        <f>E9/E3</f>
        <v>0.37447601304145317</v>
      </c>
      <c r="F19" s="7">
        <f>F9/F3</f>
        <v>0.45509600655480748</v>
      </c>
      <c r="G19" s="7">
        <f>G9/G3</f>
        <v>0.43475602766420846</v>
      </c>
      <c r="H19" s="7">
        <f>H9/H3</f>
        <v>0.42531898063761736</v>
      </c>
      <c r="I19" s="7">
        <f>I9/I3</f>
        <v>0.35928990003447087</v>
      </c>
      <c r="J19" s="7">
        <f>J9/J3</f>
        <v>0.37376377297971547</v>
      </c>
      <c r="K19" s="7">
        <f>K9/K3</f>
        <v>0.30543213415508097</v>
      </c>
      <c r="L19" s="7">
        <f t="shared" ref="L19:N19" si="23">L9/L3</f>
        <v>0.28663211338117117</v>
      </c>
      <c r="M19" s="7">
        <f t="shared" si="23"/>
        <v>0.20506451460280772</v>
      </c>
      <c r="N19" s="7">
        <f t="shared" si="23"/>
        <v>0.22331196741712328</v>
      </c>
      <c r="T19" s="7">
        <f>T9/T3</f>
        <v>0.3800500203571221</v>
      </c>
      <c r="U19" s="7">
        <f>U9/U3</f>
        <v>0.39645040660058173</v>
      </c>
      <c r="V19" s="7"/>
    </row>
    <row r="20" spans="2:27" x14ac:dyDescent="0.3">
      <c r="B20" t="s">
        <v>37</v>
      </c>
      <c r="C20" s="7">
        <f>1-C13/C11</f>
        <v>0.16362395495649207</v>
      </c>
      <c r="D20" s="7">
        <f>1-D13/D11</f>
        <v>0.15543956940140269</v>
      </c>
      <c r="E20" s="7">
        <f>1-E13/E11</f>
        <v>3.5288331488995461E-2</v>
      </c>
      <c r="F20" s="7">
        <f>1-F13/F11</f>
        <v>0.14055917273075447</v>
      </c>
      <c r="G20" s="7">
        <f>1-G13/G11</f>
        <v>0.17438928975049983</v>
      </c>
      <c r="H20" s="7">
        <f>1-H13/H11</f>
        <v>0.16934388236234321</v>
      </c>
      <c r="I20" s="7">
        <f>1-I13/I11</f>
        <v>0.12986275437766204</v>
      </c>
      <c r="J20" s="7">
        <f>1-J13/J11</f>
        <v>0.19027001495709672</v>
      </c>
      <c r="K20" s="7">
        <f>1-K13/K11</f>
        <v>0.16198922317018405</v>
      </c>
      <c r="L20" s="7">
        <f t="shared" ref="L20:N20" si="24">1-L13/L11</f>
        <v>0.16000000000000003</v>
      </c>
      <c r="M20" s="7">
        <f t="shared" si="24"/>
        <v>0.16000000000000003</v>
      </c>
      <c r="N20" s="7">
        <f t="shared" si="24"/>
        <v>0.16000000000000003</v>
      </c>
      <c r="T20" s="7">
        <f>1-T13/T11</f>
        <v>0.12157926461723934</v>
      </c>
      <c r="U20" s="7">
        <f>1-U13/U11</f>
        <v>0.1673716267659251</v>
      </c>
      <c r="V20" s="7"/>
    </row>
    <row r="21" spans="2:27" x14ac:dyDescent="0.3">
      <c r="B21" t="s">
        <v>36</v>
      </c>
      <c r="C21" s="7">
        <f>C13/C3</f>
        <v>0.27637142696059086</v>
      </c>
      <c r="D21" s="7">
        <f>D13/D3</f>
        <v>0.27709102584684542</v>
      </c>
      <c r="E21" s="7">
        <f>E13/E3</f>
        <v>0.3654401490451793</v>
      </c>
      <c r="F21" s="7">
        <f>F13/F3</f>
        <v>0.39970075879021055</v>
      </c>
      <c r="G21" s="7">
        <f>G13/G3</f>
        <v>0.36288257995491191</v>
      </c>
      <c r="H21" s="7">
        <f>H13/H3</f>
        <v>0.35746466279189737</v>
      </c>
      <c r="I21" s="7">
        <f>I13/I3</f>
        <v>0.31689072733540158</v>
      </c>
      <c r="J21" s="7">
        <f>J13/J3</f>
        <v>0.3054854325680853</v>
      </c>
      <c r="K21" s="7">
        <f>K13/K3</f>
        <v>0.26748602551239786</v>
      </c>
      <c r="L21" s="7">
        <f t="shared" ref="L21:N21" si="25">L13/L3</f>
        <v>0.25164676346172132</v>
      </c>
      <c r="M21" s="7">
        <f t="shared" si="25"/>
        <v>0.18315509864752524</v>
      </c>
      <c r="N21" s="7">
        <f t="shared" si="25"/>
        <v>0.19697397131761135</v>
      </c>
      <c r="T21" s="7">
        <f t="shared" ref="T21:V21" si="26">T13/T3</f>
        <v>0.3390449601582039</v>
      </c>
      <c r="U21" s="7">
        <f t="shared" si="26"/>
        <v>0.33384494059985248</v>
      </c>
      <c r="V21" s="7">
        <f t="shared" si="26"/>
        <v>0.2231503666302446</v>
      </c>
      <c r="W21" s="8">
        <v>0.25</v>
      </c>
      <c r="X21" s="8">
        <v>0.27</v>
      </c>
      <c r="Y21" s="8">
        <v>0.3</v>
      </c>
      <c r="Z21" s="8">
        <v>0.32</v>
      </c>
      <c r="AA21" s="8">
        <v>0.33</v>
      </c>
    </row>
    <row r="22" spans="2:27" x14ac:dyDescent="0.3">
      <c r="X22" s="7"/>
      <c r="Y22" s="7"/>
    </row>
    <row r="23" spans="2:27" x14ac:dyDescent="0.3">
      <c r="B23" t="s">
        <v>38</v>
      </c>
      <c r="G23" s="7">
        <f>G3/C3-1</f>
        <v>0.47550318543158365</v>
      </c>
      <c r="H23" s="7">
        <f>H3/D3-1</f>
        <v>0.5560014983678494</v>
      </c>
      <c r="I23" s="7">
        <f>I3/E3-1</f>
        <v>0.35118770377270603</v>
      </c>
      <c r="J23" s="7">
        <f>J3/F3-1</f>
        <v>0.19949413985964171</v>
      </c>
      <c r="K23" s="7">
        <f>K3/G3-1</f>
        <v>6.6371174200450911E-2</v>
      </c>
      <c r="L23" s="7">
        <f t="shared" ref="L23:N23" si="27">L3/H3-1</f>
        <v>2.0000000000000018E-2</v>
      </c>
      <c r="M23" s="7">
        <f t="shared" si="27"/>
        <v>2.0000000000000018E-2</v>
      </c>
      <c r="N23" s="7">
        <f t="shared" si="27"/>
        <v>2.0000000000000018E-2</v>
      </c>
      <c r="R23" s="7">
        <f t="shared" ref="R23:T23" si="28">R3/Q3-1</f>
        <v>0.37352716896661997</v>
      </c>
      <c r="S23" s="7">
        <f t="shared" si="28"/>
        <v>0.26610910132884413</v>
      </c>
      <c r="T23" s="7">
        <f t="shared" si="28"/>
        <v>0.21596390228722573</v>
      </c>
      <c r="U23" s="7">
        <f>U3/T3-1</f>
        <v>0.37182574303495608</v>
      </c>
      <c r="V23" s="7">
        <f>V3/U3-1</f>
        <v>3.0290768174070948E-2</v>
      </c>
      <c r="W23" s="8">
        <v>7.0000000000000007E-2</v>
      </c>
      <c r="X23" s="8">
        <v>7.0000000000000007E-2</v>
      </c>
      <c r="Y23" s="8">
        <v>7.0000000000000007E-2</v>
      </c>
      <c r="Z23" s="8">
        <v>7.0000000000000007E-2</v>
      </c>
      <c r="AA23" s="8">
        <v>7.0000000000000007E-2</v>
      </c>
    </row>
    <row r="25" spans="2:27" x14ac:dyDescent="0.3">
      <c r="X25" t="s">
        <v>70</v>
      </c>
      <c r="Y25" s="8">
        <v>0.1</v>
      </c>
    </row>
    <row r="26" spans="2:27" x14ac:dyDescent="0.3">
      <c r="B26" t="s">
        <v>48</v>
      </c>
      <c r="K26">
        <v>7465</v>
      </c>
      <c r="X26" s="5" t="s">
        <v>71</v>
      </c>
      <c r="Y26" s="10">
        <f>NPV(Y25,V14:DE14)</f>
        <v>216.73268220177528</v>
      </c>
    </row>
    <row r="27" spans="2:27" x14ac:dyDescent="0.3">
      <c r="X27" t="s">
        <v>73</v>
      </c>
      <c r="Y27" s="2">
        <f>Main!F8</f>
        <v>50665</v>
      </c>
    </row>
    <row r="28" spans="2:27" x14ac:dyDescent="0.3">
      <c r="X28" t="s">
        <v>1</v>
      </c>
      <c r="Y28" s="2">
        <f>K15</f>
        <v>2744.4852941176468</v>
      </c>
    </row>
    <row r="29" spans="2:27" x14ac:dyDescent="0.3">
      <c r="B29" t="s">
        <v>52</v>
      </c>
      <c r="K29">
        <f>14076</f>
        <v>14076</v>
      </c>
      <c r="X29" t="s">
        <v>74</v>
      </c>
      <c r="Y29">
        <f>Y27/Y28</f>
        <v>18.460656396517081</v>
      </c>
    </row>
    <row r="30" spans="2:27" x14ac:dyDescent="0.3">
      <c r="B30" t="s">
        <v>49</v>
      </c>
      <c r="K30">
        <v>-4779</v>
      </c>
      <c r="X30" s="5" t="s">
        <v>75</v>
      </c>
      <c r="Y30" s="10">
        <f>Y26+Y29</f>
        <v>235.19333859829237</v>
      </c>
    </row>
    <row r="31" spans="2:27" x14ac:dyDescent="0.3">
      <c r="B31" t="s">
        <v>50</v>
      </c>
      <c r="K31">
        <v>-10660</v>
      </c>
      <c r="X31" s="5" t="s">
        <v>76</v>
      </c>
      <c r="Y31" s="13">
        <f>Main!F3</f>
        <v>167.2</v>
      </c>
    </row>
    <row r="33" spans="2:25" x14ac:dyDescent="0.3">
      <c r="B33" t="s">
        <v>51</v>
      </c>
      <c r="K33">
        <f>K29+K30</f>
        <v>9297</v>
      </c>
      <c r="X33" s="11" t="s">
        <v>72</v>
      </c>
      <c r="Y33" s="12">
        <f>Y30/Y31-1</f>
        <v>0.40665872367399758</v>
      </c>
    </row>
    <row r="37" spans="2:25" x14ac:dyDescent="0.3">
      <c r="X37" t="s">
        <v>78</v>
      </c>
    </row>
    <row r="39" spans="2:25" x14ac:dyDescent="0.3">
      <c r="X39" t="s">
        <v>80</v>
      </c>
      <c r="Y39">
        <v>123228</v>
      </c>
    </row>
    <row r="40" spans="2:25" x14ac:dyDescent="0.3">
      <c r="X40" t="s">
        <v>1</v>
      </c>
      <c r="Y40">
        <f>2744</f>
        <v>2744</v>
      </c>
    </row>
    <row r="41" spans="2:25" x14ac:dyDescent="0.3">
      <c r="X41" t="s">
        <v>79</v>
      </c>
      <c r="Y41">
        <f>Y39/Y40</f>
        <v>44.908163265306122</v>
      </c>
    </row>
    <row r="42" spans="2:25" x14ac:dyDescent="0.3">
      <c r="X42" t="s">
        <v>82</v>
      </c>
      <c r="Y42" s="2">
        <f>SUM(H13:K13)</f>
        <v>37338</v>
      </c>
    </row>
    <row r="43" spans="2:25" x14ac:dyDescent="0.3">
      <c r="X43" t="s">
        <v>81</v>
      </c>
      <c r="Y43" s="7">
        <f>Y42/Y39</f>
        <v>0.30299931833674165</v>
      </c>
    </row>
    <row r="45" spans="2:25" x14ac:dyDescent="0.3">
      <c r="X45" s="5" t="s">
        <v>83</v>
      </c>
      <c r="Y45" s="5">
        <f>Y41*(Y43/15%)^2</f>
        <v>183.24244489888667</v>
      </c>
    </row>
    <row r="46" spans="2:25" x14ac:dyDescent="0.3">
      <c r="X46" s="5" t="s">
        <v>76</v>
      </c>
      <c r="Y46" s="13">
        <f>Main!F3</f>
        <v>167.2</v>
      </c>
    </row>
    <row r="48" spans="2:25" x14ac:dyDescent="0.3">
      <c r="X48" s="11" t="s">
        <v>72</v>
      </c>
      <c r="Y48" s="12">
        <f>Y45/Y46-1</f>
        <v>9.5947636955063809E-2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Main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Gale</dc:creator>
  <cp:lastModifiedBy>Gale</cp:lastModifiedBy>
  <dcterms:created xsi:type="dcterms:W3CDTF">2022-07-18T20:02:10Z</dcterms:created>
  <dcterms:modified xsi:type="dcterms:W3CDTF">2022-07-19T10:31:05Z</dcterms:modified>
</cp:coreProperties>
</file>