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Gale\Desktop\Excel\Valutazioni\"/>
    </mc:Choice>
  </mc:AlternateContent>
  <xr:revisionPtr revIDLastSave="0" documentId="13_ncr:1_{3C513548-09EA-4AF1-8413-1E5D5EB5CD6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1" r:id="rId1"/>
    <sheet name="Conto economico" sheetId="2" r:id="rId2"/>
    <sheet name="Bilanc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9" i="2" l="1"/>
  <c r="AD19" i="2" s="1"/>
  <c r="AE19" i="2" s="1"/>
  <c r="AF19" i="2" s="1"/>
  <c r="AB19" i="2"/>
  <c r="D21" i="3"/>
  <c r="D23" i="3" s="1"/>
  <c r="D22" i="3"/>
  <c r="D18" i="3"/>
  <c r="D17" i="3"/>
  <c r="D16" i="3"/>
  <c r="D15" i="3"/>
  <c r="AF30" i="2"/>
  <c r="R28" i="2"/>
  <c r="S28" i="2"/>
  <c r="W9" i="2"/>
  <c r="W18" i="2" s="1"/>
  <c r="W19" i="2" s="1"/>
  <c r="X20" i="2"/>
  <c r="Y20" i="2" s="1"/>
  <c r="Z20" i="2" s="1"/>
  <c r="AA20" i="2" s="1"/>
  <c r="W20" i="2"/>
  <c r="V36" i="2"/>
  <c r="S20" i="2"/>
  <c r="R20" i="2"/>
  <c r="S14" i="2"/>
  <c r="R14" i="2"/>
  <c r="R16" i="2" s="1"/>
  <c r="R18" i="2" s="1"/>
  <c r="S16" i="2"/>
  <c r="S18" i="2" s="1"/>
  <c r="V19" i="2"/>
  <c r="V17" i="2"/>
  <c r="V13" i="2"/>
  <c r="V14" i="2"/>
  <c r="V15" i="2"/>
  <c r="V12" i="2"/>
  <c r="V10" i="2"/>
  <c r="N18" i="2"/>
  <c r="M18" i="2"/>
  <c r="N17" i="2"/>
  <c r="M17" i="2"/>
  <c r="C30" i="2"/>
  <c r="D30" i="2"/>
  <c r="E30" i="2"/>
  <c r="F30" i="2"/>
  <c r="G30" i="2"/>
  <c r="H30" i="2"/>
  <c r="I30" i="2"/>
  <c r="J30" i="2"/>
  <c r="K30" i="2"/>
  <c r="L30" i="2"/>
  <c r="N9" i="2"/>
  <c r="V9" i="2" s="1"/>
  <c r="M9" i="2"/>
  <c r="N16" i="2"/>
  <c r="N15" i="2"/>
  <c r="N13" i="2"/>
  <c r="M13" i="2"/>
  <c r="N12" i="2"/>
  <c r="M12" i="2"/>
  <c r="N10" i="2"/>
  <c r="N11" i="2" s="1"/>
  <c r="M10" i="2"/>
  <c r="M15" i="2"/>
  <c r="U28" i="2"/>
  <c r="T28" i="2"/>
  <c r="T10" i="2"/>
  <c r="T11" i="2" s="1"/>
  <c r="T16" i="2" s="1"/>
  <c r="T18" i="2" s="1"/>
  <c r="T20" i="2" s="1"/>
  <c r="U19" i="2"/>
  <c r="U17" i="2"/>
  <c r="U13" i="2"/>
  <c r="U14" i="2"/>
  <c r="U15" i="2"/>
  <c r="U12" i="2"/>
  <c r="U10" i="2"/>
  <c r="U9" i="2"/>
  <c r="U11" i="2" s="1"/>
  <c r="U16" i="2" s="1"/>
  <c r="T19" i="2"/>
  <c r="T17" i="2"/>
  <c r="T13" i="2"/>
  <c r="T14" i="2"/>
  <c r="T15" i="2"/>
  <c r="T12" i="2"/>
  <c r="T9" i="2"/>
  <c r="M19" i="2"/>
  <c r="J32" i="2"/>
  <c r="K32" i="2"/>
  <c r="J33" i="2"/>
  <c r="K33" i="2"/>
  <c r="J34" i="2"/>
  <c r="K34" i="2"/>
  <c r="J35" i="2"/>
  <c r="K35" i="2"/>
  <c r="L33" i="2"/>
  <c r="L34" i="2"/>
  <c r="L35" i="2"/>
  <c r="L32" i="2"/>
  <c r="H4" i="3"/>
  <c r="C14" i="2"/>
  <c r="D14" i="2"/>
  <c r="D16" i="2" s="1"/>
  <c r="D18" i="2" s="1"/>
  <c r="D20" i="2" s="1"/>
  <c r="E14" i="2"/>
  <c r="E16" i="2" s="1"/>
  <c r="E18" i="2" s="1"/>
  <c r="E20" i="2" s="1"/>
  <c r="I14" i="2"/>
  <c r="I16" i="2" s="1"/>
  <c r="I18" i="2" s="1"/>
  <c r="I9" i="2"/>
  <c r="M36" i="2" s="1"/>
  <c r="F14" i="2"/>
  <c r="F16" i="2" s="1"/>
  <c r="F18" i="2" s="1"/>
  <c r="J14" i="2"/>
  <c r="J16" i="2" s="1"/>
  <c r="J18" i="2" s="1"/>
  <c r="J20" i="2" s="1"/>
  <c r="G14" i="2"/>
  <c r="G16" i="2" s="1"/>
  <c r="G18" i="2" s="1"/>
  <c r="C16" i="2"/>
  <c r="C18" i="2" s="1"/>
  <c r="C20" i="2" s="1"/>
  <c r="K14" i="2"/>
  <c r="K16" i="2" s="1"/>
  <c r="K18" i="2" s="1"/>
  <c r="E26" i="2"/>
  <c r="D26" i="2"/>
  <c r="C26" i="2"/>
  <c r="L14" i="2"/>
  <c r="L16" i="2" s="1"/>
  <c r="L18" i="2" s="1"/>
  <c r="G9" i="2"/>
  <c r="G26" i="2" s="1"/>
  <c r="F9" i="2"/>
  <c r="F10" i="2" s="1"/>
  <c r="E10" i="2"/>
  <c r="D10" i="2"/>
  <c r="C10" i="2"/>
  <c r="L9" i="2"/>
  <c r="L10" i="2" s="1"/>
  <c r="K9" i="2"/>
  <c r="J9" i="2"/>
  <c r="J10" i="2" s="1"/>
  <c r="H17" i="2"/>
  <c r="H14" i="2"/>
  <c r="H16" i="2" s="1"/>
  <c r="H9" i="2"/>
  <c r="H10" i="2" s="1"/>
  <c r="E7" i="1"/>
  <c r="E6" i="1"/>
  <c r="E5" i="1"/>
  <c r="E8" i="1" l="1"/>
  <c r="E9" i="1"/>
  <c r="AF29" i="2" s="1"/>
  <c r="AF31" i="2" s="1"/>
  <c r="X9" i="2"/>
  <c r="Y9" i="2" s="1"/>
  <c r="Z9" i="2" s="1"/>
  <c r="V11" i="2"/>
  <c r="V16" i="2" s="1"/>
  <c r="V18" i="2" s="1"/>
  <c r="V20" i="2" s="1"/>
  <c r="N19" i="2"/>
  <c r="M11" i="2"/>
  <c r="M16" i="2" s="1"/>
  <c r="U18" i="2"/>
  <c r="U20" i="2" s="1"/>
  <c r="I10" i="2"/>
  <c r="I36" i="2"/>
  <c r="K36" i="2"/>
  <c r="J36" i="2"/>
  <c r="K10" i="2"/>
  <c r="D38" i="2"/>
  <c r="E38" i="2"/>
  <c r="K20" i="2"/>
  <c r="K38" i="2" s="1"/>
  <c r="K28" i="2"/>
  <c r="L20" i="2"/>
  <c r="L28" i="2"/>
  <c r="G20" i="2"/>
  <c r="G28" i="2"/>
  <c r="F20" i="2"/>
  <c r="F38" i="2" s="1"/>
  <c r="F28" i="2"/>
  <c r="I20" i="2"/>
  <c r="I28" i="2"/>
  <c r="C28" i="2"/>
  <c r="L36" i="2"/>
  <c r="N36" i="2"/>
  <c r="H36" i="2"/>
  <c r="G36" i="2"/>
  <c r="E28" i="2"/>
  <c r="D28" i="2"/>
  <c r="H26" i="2"/>
  <c r="L26" i="2"/>
  <c r="J28" i="2"/>
  <c r="I26" i="2"/>
  <c r="F26" i="2"/>
  <c r="J26" i="2"/>
  <c r="G10" i="2"/>
  <c r="K26" i="2"/>
  <c r="H18" i="2"/>
  <c r="Y18" i="2" l="1"/>
  <c r="Y19" i="2" s="1"/>
  <c r="X18" i="2"/>
  <c r="X19" i="2" s="1"/>
  <c r="AA9" i="2"/>
  <c r="AA18" i="2" s="1"/>
  <c r="AA19" i="2" s="1"/>
  <c r="Z18" i="2"/>
  <c r="Z19" i="2" s="1"/>
  <c r="V28" i="2"/>
  <c r="G38" i="2"/>
  <c r="M20" i="2"/>
  <c r="N20" i="2" s="1"/>
  <c r="L38" i="2"/>
  <c r="H20" i="2"/>
  <c r="H38" i="2" s="1"/>
  <c r="H28" i="2"/>
  <c r="I38" i="2"/>
  <c r="J38" i="2"/>
  <c r="AG19" i="2" l="1"/>
  <c r="AH19" i="2" s="1"/>
  <c r="AI19" i="2" s="1"/>
  <c r="AJ19" i="2" s="1"/>
  <c r="AK19" i="2" s="1"/>
  <c r="AL19" i="2" l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AF27" i="2" l="1"/>
  <c r="AF33" i="2" s="1"/>
</calcChain>
</file>

<file path=xl/sharedStrings.xml><?xml version="1.0" encoding="utf-8"?>
<sst xmlns="http://schemas.openxmlformats.org/spreadsheetml/2006/main" count="87" uniqueCount="81">
  <si>
    <t>Price</t>
  </si>
  <si>
    <t>SO</t>
  </si>
  <si>
    <t>MC</t>
  </si>
  <si>
    <t>Cash</t>
  </si>
  <si>
    <t>Debt</t>
  </si>
  <si>
    <t>Net Cash</t>
  </si>
  <si>
    <t>EV</t>
  </si>
  <si>
    <t>USD</t>
  </si>
  <si>
    <t>M</t>
  </si>
  <si>
    <t>Software</t>
  </si>
  <si>
    <t>Consulting</t>
  </si>
  <si>
    <t>Infrastructure</t>
  </si>
  <si>
    <t>Financing</t>
  </si>
  <si>
    <t>Other</t>
  </si>
  <si>
    <t>Revenues</t>
  </si>
  <si>
    <t>COGS</t>
  </si>
  <si>
    <t>Gross Profit</t>
  </si>
  <si>
    <t>Q2 2021</t>
  </si>
  <si>
    <t>SG&amp;A</t>
  </si>
  <si>
    <t>RD&amp;E</t>
  </si>
  <si>
    <t>Other Income</t>
  </si>
  <si>
    <t>Interest Expenses</t>
  </si>
  <si>
    <t>Income before Tax</t>
  </si>
  <si>
    <t>Tax</t>
  </si>
  <si>
    <t>Net Income</t>
  </si>
  <si>
    <t>EPS</t>
  </si>
  <si>
    <t>Gross margin Software</t>
  </si>
  <si>
    <t>Gross margin Consulting</t>
  </si>
  <si>
    <t>Gross margin</t>
  </si>
  <si>
    <t>Gross margin Financing</t>
  </si>
  <si>
    <t>Gross margin Infrastructure</t>
  </si>
  <si>
    <t>Q1 2020</t>
  </si>
  <si>
    <t>Q2 2020</t>
  </si>
  <si>
    <t>Q3 2020</t>
  </si>
  <si>
    <t>Q4 2020</t>
  </si>
  <si>
    <t>Q1 2021</t>
  </si>
  <si>
    <t>Q3 2021</t>
  </si>
  <si>
    <t>Q4 2021</t>
  </si>
  <si>
    <t>Q1 2022</t>
  </si>
  <si>
    <t>Q2 2022</t>
  </si>
  <si>
    <t>Ci sono pratiche contabili poco chiare, modificano il modo che usano per tenere conto delle entrate e da un anno all'altro un profitto di 995 M in Q1 2021 diventa 810 M visto dal Q1 2022</t>
  </si>
  <si>
    <t>Net Margin</t>
  </si>
  <si>
    <t>Q3 2022</t>
  </si>
  <si>
    <t>Q4 2022</t>
  </si>
  <si>
    <t>Revenue Growth Y/Y</t>
  </si>
  <si>
    <t>Assets</t>
  </si>
  <si>
    <t>Current Assets</t>
  </si>
  <si>
    <t>Liab</t>
  </si>
  <si>
    <t>Current Liab</t>
  </si>
  <si>
    <t>Net working capital</t>
  </si>
  <si>
    <t>Inventories</t>
  </si>
  <si>
    <t>abbastanza bassi</t>
  </si>
  <si>
    <t>55 miliardi di Goodwill</t>
  </si>
  <si>
    <t>SO increase quarterly</t>
  </si>
  <si>
    <t>Red Hat</t>
  </si>
  <si>
    <t>Hybrid Cloud and AI strategy</t>
  </si>
  <si>
    <t xml:space="preserve">Z16 system </t>
  </si>
  <si>
    <t>quantum-safe encryption and includes an on-chip AI accelerator, which allows clients to reduce fraud within real-time transactions</t>
  </si>
  <si>
    <t>Randori e ReaQta</t>
  </si>
  <si>
    <t>cyber security</t>
  </si>
  <si>
    <t>Rev. Growth Financing Y/Y</t>
  </si>
  <si>
    <t>Rev. Growth Consulting Y/Y</t>
  </si>
  <si>
    <t>Rev. Growth Software Y/Y</t>
  </si>
  <si>
    <t>Rev Growth Infrastructure Y/Y</t>
  </si>
  <si>
    <t>Tax rate</t>
  </si>
  <si>
    <t>Discount Rate</t>
  </si>
  <si>
    <t>Alto debito</t>
  </si>
  <si>
    <t>NPV</t>
  </si>
  <si>
    <t>EV attuale</t>
  </si>
  <si>
    <t>Valore attuale Azione</t>
  </si>
  <si>
    <t>Upside/Downside</t>
  </si>
  <si>
    <t>66 miliardi di intangibles</t>
  </si>
  <si>
    <t>Equity</t>
  </si>
  <si>
    <t>Goodwill+Intagibles</t>
  </si>
  <si>
    <t>Tangible Book Value</t>
  </si>
  <si>
    <t>Tangible Book Value per share</t>
  </si>
  <si>
    <t>L'azienda non ha abbastanza current assets per coprire i debiti a breve</t>
  </si>
  <si>
    <t>Debt to Equity ratio</t>
  </si>
  <si>
    <t>IBM</t>
  </si>
  <si>
    <t>Stato patrimoniale brutto e overleverage</t>
  </si>
  <si>
    <t>Si aspettano una crescita a una singola cifra alta es:8% ma solo per il dollaro forte si aspettano una diminuzione del 6% io quindi per tutto i successivi trimestri del 2022 mi aspetto una crescita nulla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</si>
</sst>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8" formatCode="0.00_ ;[Red]\-0.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9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178" fontId="0" fillId="3" borderId="0" xfId="0" applyNumberFormat="1" applyFill="1"/>
    <xf numFmtId="2" fontId="0" fillId="3" borderId="0" xfId="0" applyNumberFormat="1" applyFill="1"/>
    <xf numFmtId="9" fontId="0" fillId="2" borderId="0" xfId="1" applyFont="1" applyFill="1"/>
    <xf numFmtId="0" fontId="0" fillId="4" borderId="0" xfId="0" applyFill="1"/>
    <xf numFmtId="2" fontId="0" fillId="2" borderId="0" xfId="1" applyNumberFormat="1" applyFont="1" applyFill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83820</xdr:colOff>
      <xdr:row>0</xdr:row>
      <xdr:rowOff>60960</xdr:rowOff>
    </xdr:from>
    <xdr:to>
      <xdr:col>12</xdr:col>
      <xdr:colOff>91440</xdr:colOff>
      <xdr:row>37</xdr:row>
      <xdr:rowOff>91440</xdr:rowOff>
    </xdr:to>
    <xdr:cxnSp macro="">
      <xdr:nvCxnSpPr>
        <xdr:cNvPr id="3" name="Connettore 2 2">
          <a:extLst>
            <a:ext uri="{FF2B5EF4-FFF2-40B4-BE49-F238E27FC236}">
              <a16:creationId xmlns:a16="http://schemas.microsoft.com/office/drawing/2014/main" id="{DE67166D-81E8-3EF4-6503-C0C5D6B636F2}"/>
            </a:ext>
          </a:extLst>
        </xdr:cNvPr>
        <xdr:cNvCxnSpPr/>
      </xdr:nvCxnSpPr>
      <xdr:spPr>
        <a:xfrm>
          <a:off x="9189720" y="60960"/>
          <a:ext cx="7620" cy="6797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83820</xdr:colOff>
      <xdr:row>0</xdr:row>
      <xdr:rowOff>152400</xdr:rowOff>
    </xdr:from>
    <xdr:to>
      <xdr:col>21</xdr:col>
      <xdr:colOff>99060</xdr:colOff>
      <xdr:row>24</xdr:row>
      <xdr:rowOff>53340</xdr:rowOff>
    </xdr:to>
    <xdr:cxnSp macro="">
      <xdr:nvCxnSpPr>
        <xdr:cNvPr id="5" name="Connettore diritto 4">
          <a:extLst>
            <a:ext uri="{FF2B5EF4-FFF2-40B4-BE49-F238E27FC236}">
              <a16:creationId xmlns:a16="http://schemas.microsoft.com/office/drawing/2014/main" id="{4AA4CFD3-3753-2C87-CEFD-97FF13F478B8}"/>
            </a:ext>
          </a:extLst>
        </xdr:cNvPr>
        <xdr:cNvCxnSpPr/>
      </xdr:nvCxnSpPr>
      <xdr:spPr>
        <a:xfrm flipH="1" flipV="1">
          <a:off x="14851380" y="152400"/>
          <a:ext cx="15240" cy="42900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S12" sqref="S12"/>
    </sheetView>
  </sheetViews>
  <sheetFormatPr defaultRowHeight="14.4" x14ac:dyDescent="0.3"/>
  <cols>
    <col min="1" max="1" width="15.44140625" customWidth="1"/>
    <col min="6" max="6" width="10.5546875" bestFit="1" customWidth="1"/>
  </cols>
  <sheetData>
    <row r="1" spans="1:7" x14ac:dyDescent="0.3">
      <c r="A1" t="s">
        <v>78</v>
      </c>
    </row>
    <row r="3" spans="1:7" x14ac:dyDescent="0.3">
      <c r="D3" t="s">
        <v>0</v>
      </c>
      <c r="E3">
        <v>129.18</v>
      </c>
      <c r="F3" s="1">
        <v>44762</v>
      </c>
      <c r="G3" t="s">
        <v>7</v>
      </c>
    </row>
    <row r="4" spans="1:7" x14ac:dyDescent="0.3">
      <c r="D4" t="s">
        <v>1</v>
      </c>
      <c r="E4">
        <v>909.94</v>
      </c>
      <c r="F4" t="s">
        <v>8</v>
      </c>
    </row>
    <row r="5" spans="1:7" x14ac:dyDescent="0.3">
      <c r="D5" t="s">
        <v>2</v>
      </c>
      <c r="E5" s="2">
        <f>E3*E4</f>
        <v>117546.04920000001</v>
      </c>
    </row>
    <row r="6" spans="1:7" x14ac:dyDescent="0.3">
      <c r="D6" t="s">
        <v>3</v>
      </c>
      <c r="E6" s="2">
        <f>7034+220+524</f>
        <v>7778</v>
      </c>
    </row>
    <row r="7" spans="1:7" x14ac:dyDescent="0.3">
      <c r="D7" t="s">
        <v>4</v>
      </c>
      <c r="E7" s="2">
        <f>5981+44328</f>
        <v>50309</v>
      </c>
    </row>
    <row r="8" spans="1:7" x14ac:dyDescent="0.3">
      <c r="D8" t="s">
        <v>5</v>
      </c>
      <c r="E8" s="2">
        <f>E6-E7</f>
        <v>-42531</v>
      </c>
    </row>
    <row r="9" spans="1:7" x14ac:dyDescent="0.3">
      <c r="D9" t="s">
        <v>6</v>
      </c>
      <c r="E9" s="2">
        <f>E5-E8</f>
        <v>160077.04920000001</v>
      </c>
    </row>
    <row r="11" spans="1:7" x14ac:dyDescent="0.3">
      <c r="A11" t="s">
        <v>79</v>
      </c>
    </row>
    <row r="13" spans="1:7" x14ac:dyDescent="0.3">
      <c r="A13" t="s">
        <v>40</v>
      </c>
    </row>
    <row r="15" spans="1:7" x14ac:dyDescent="0.3">
      <c r="A15" t="s">
        <v>80</v>
      </c>
    </row>
    <row r="19" spans="1:2" x14ac:dyDescent="0.3">
      <c r="A19" t="s">
        <v>54</v>
      </c>
      <c r="B19" t="s">
        <v>55</v>
      </c>
    </row>
    <row r="20" spans="1:2" x14ac:dyDescent="0.3">
      <c r="A20" t="s">
        <v>56</v>
      </c>
      <c r="B20" t="s">
        <v>57</v>
      </c>
    </row>
    <row r="21" spans="1:2" x14ac:dyDescent="0.3">
      <c r="A21" t="s">
        <v>58</v>
      </c>
      <c r="B21" t="s">
        <v>59</v>
      </c>
    </row>
    <row r="22" spans="1:2" x14ac:dyDescent="0.3">
      <c r="A2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4971C-EF41-4C48-9F37-5A457ECEFFBA}">
  <dimension ref="B3:CA38"/>
  <sheetViews>
    <sheetView tabSelected="1" workbookViewId="0">
      <pane xSplit="2" ySplit="3" topLeftCell="U10" activePane="bottomRight" state="frozen"/>
      <selection pane="topRight" activeCell="C1" sqref="C1"/>
      <selection pane="bottomLeft" activeCell="A4" sqref="A4"/>
      <selection pane="bottomRight" activeCell="AG29" sqref="AG29"/>
    </sheetView>
  </sheetViews>
  <sheetFormatPr defaultRowHeight="14.4" x14ac:dyDescent="0.3"/>
  <cols>
    <col min="2" max="2" width="23.5546875" bestFit="1" customWidth="1"/>
    <col min="3" max="3" width="11.33203125" customWidth="1"/>
    <col min="4" max="4" width="11.77734375" customWidth="1"/>
    <col min="5" max="5" width="10.33203125" customWidth="1"/>
    <col min="6" max="6" width="10.44140625" customWidth="1"/>
    <col min="7" max="7" width="11.44140625" customWidth="1"/>
    <col min="8" max="8" width="9.44140625" bestFit="1" customWidth="1"/>
    <col min="13" max="13" width="11.44140625" bestFit="1" customWidth="1"/>
    <col min="31" max="31" width="18.44140625" customWidth="1"/>
    <col min="32" max="32" width="9.44140625" bestFit="1" customWidth="1"/>
  </cols>
  <sheetData>
    <row r="3" spans="2:35" x14ac:dyDescent="0.3"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17</v>
      </c>
      <c r="I3" t="s">
        <v>36</v>
      </c>
      <c r="J3" t="s">
        <v>37</v>
      </c>
      <c r="K3" t="s">
        <v>38</v>
      </c>
      <c r="L3" t="s">
        <v>39</v>
      </c>
      <c r="M3" t="s">
        <v>42</v>
      </c>
      <c r="N3" t="s">
        <v>43</v>
      </c>
      <c r="R3">
        <v>2018</v>
      </c>
      <c r="S3">
        <v>2019</v>
      </c>
      <c r="T3">
        <v>2020</v>
      </c>
      <c r="U3">
        <v>2021</v>
      </c>
      <c r="V3">
        <v>2022</v>
      </c>
      <c r="W3">
        <v>2023</v>
      </c>
      <c r="X3">
        <v>2024</v>
      </c>
      <c r="Y3">
        <v>2025</v>
      </c>
      <c r="Z3">
        <v>2026</v>
      </c>
      <c r="AA3">
        <v>2027</v>
      </c>
    </row>
    <row r="4" spans="2:35" x14ac:dyDescent="0.3">
      <c r="B4" t="s">
        <v>9</v>
      </c>
      <c r="F4">
        <v>6719</v>
      </c>
      <c r="G4">
        <v>5138</v>
      </c>
      <c r="H4" s="2">
        <v>5795</v>
      </c>
      <c r="I4" s="2"/>
      <c r="J4" s="2">
        <v>7273</v>
      </c>
      <c r="K4" s="2">
        <v>5772</v>
      </c>
      <c r="L4" s="2">
        <v>6166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2:35" x14ac:dyDescent="0.3">
      <c r="B5" t="s">
        <v>10</v>
      </c>
      <c r="F5">
        <v>4196</v>
      </c>
      <c r="G5">
        <v>4262</v>
      </c>
      <c r="H5" s="2">
        <v>4378</v>
      </c>
      <c r="I5" s="2"/>
      <c r="J5" s="2">
        <v>4746</v>
      </c>
      <c r="K5" s="2">
        <v>4829</v>
      </c>
      <c r="L5" s="2">
        <v>4809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2:35" x14ac:dyDescent="0.3">
      <c r="B6" t="s">
        <v>11</v>
      </c>
      <c r="F6">
        <v>4425</v>
      </c>
      <c r="G6">
        <v>3293</v>
      </c>
      <c r="H6" s="2">
        <v>3560</v>
      </c>
      <c r="I6" s="2"/>
      <c r="J6" s="2">
        <v>4414</v>
      </c>
      <c r="K6" s="2">
        <v>3219</v>
      </c>
      <c r="L6" s="2">
        <v>4235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2:35" x14ac:dyDescent="0.3">
      <c r="B7" t="s">
        <v>12</v>
      </c>
      <c r="F7">
        <v>244</v>
      </c>
      <c r="G7">
        <v>208</v>
      </c>
      <c r="H7" s="2">
        <v>209</v>
      </c>
      <c r="I7" s="2"/>
      <c r="J7" s="2">
        <v>172</v>
      </c>
      <c r="K7" s="2">
        <v>154</v>
      </c>
      <c r="L7" s="2">
        <v>146</v>
      </c>
      <c r="M7" s="2"/>
      <c r="N7" s="2"/>
      <c r="O7" s="2"/>
      <c r="P7" s="2"/>
      <c r="Q7" s="2"/>
      <c r="R7" s="2"/>
      <c r="S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2:35" x14ac:dyDescent="0.3">
      <c r="B8" t="s">
        <v>13</v>
      </c>
      <c r="F8">
        <v>98</v>
      </c>
      <c r="G8">
        <v>284</v>
      </c>
      <c r="H8" s="2">
        <v>277</v>
      </c>
      <c r="I8" s="2"/>
      <c r="J8" s="2">
        <v>89</v>
      </c>
      <c r="K8" s="2">
        <v>224</v>
      </c>
      <c r="L8" s="2">
        <v>180</v>
      </c>
      <c r="M8" s="2"/>
      <c r="N8" s="2"/>
      <c r="O8" s="2"/>
      <c r="P8" s="2"/>
      <c r="Q8" s="2"/>
      <c r="R8" s="2"/>
      <c r="S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2:35" x14ac:dyDescent="0.3">
      <c r="B9" t="s">
        <v>14</v>
      </c>
      <c r="C9" s="2">
        <v>17571</v>
      </c>
      <c r="D9" s="2">
        <v>18123</v>
      </c>
      <c r="E9" s="2">
        <v>17560</v>
      </c>
      <c r="F9" s="2">
        <f t="shared" ref="C9:G9" si="0">SUM(F4:F8)</f>
        <v>15682</v>
      </c>
      <c r="G9" s="2">
        <f t="shared" si="0"/>
        <v>13185</v>
      </c>
      <c r="H9" s="2">
        <f>SUM(H4:H8)</f>
        <v>14219</v>
      </c>
      <c r="I9" s="2">
        <f>17618</f>
        <v>17618</v>
      </c>
      <c r="J9" s="2">
        <f t="shared" ref="I9:L9" si="1">SUM(J4:J8)</f>
        <v>16694</v>
      </c>
      <c r="K9" s="2">
        <f t="shared" si="1"/>
        <v>14198</v>
      </c>
      <c r="L9" s="2">
        <f t="shared" si="1"/>
        <v>15536</v>
      </c>
      <c r="M9" s="2">
        <f>I9*1.01</f>
        <v>17794.18</v>
      </c>
      <c r="N9" s="2">
        <f>J9*1.01</f>
        <v>16860.939999999999</v>
      </c>
      <c r="O9" s="2"/>
      <c r="P9" s="2"/>
      <c r="Q9" s="2"/>
      <c r="R9" s="2">
        <v>79591</v>
      </c>
      <c r="S9" s="2">
        <v>77147</v>
      </c>
      <c r="T9" s="2">
        <f>SUM(C9:F9)</f>
        <v>68936</v>
      </c>
      <c r="U9" s="2">
        <f>SUM(G9:J9)</f>
        <v>61716</v>
      </c>
      <c r="V9" s="2">
        <f>SUM(K9:N9)</f>
        <v>64389.119999999995</v>
      </c>
      <c r="W9" s="2">
        <f>V9*W36+V9</f>
        <v>70828.031999999992</v>
      </c>
      <c r="X9" s="2">
        <f t="shared" ref="X9:AA9" si="2">W9*X36+W9</f>
        <v>77910.835199999987</v>
      </c>
      <c r="Y9" s="2">
        <f t="shared" si="2"/>
        <v>85701.918719999987</v>
      </c>
      <c r="Z9" s="2">
        <f t="shared" si="2"/>
        <v>94272.110591999983</v>
      </c>
      <c r="AA9" s="2">
        <f t="shared" si="2"/>
        <v>103699.32165119998</v>
      </c>
      <c r="AB9" s="2"/>
      <c r="AC9" s="2"/>
      <c r="AD9" s="2"/>
      <c r="AE9" s="2"/>
      <c r="AF9" s="2"/>
      <c r="AG9" s="2"/>
      <c r="AH9" s="2"/>
      <c r="AI9" s="2"/>
    </row>
    <row r="10" spans="2:35" x14ac:dyDescent="0.3">
      <c r="B10" t="s">
        <v>15</v>
      </c>
      <c r="C10" s="2">
        <f t="shared" ref="C10:G10" si="3">C9-C11</f>
        <v>9649</v>
      </c>
      <c r="D10" s="2">
        <f t="shared" si="3"/>
        <v>9423</v>
      </c>
      <c r="E10" s="2">
        <f t="shared" si="3"/>
        <v>9130</v>
      </c>
      <c r="F10" s="2">
        <f t="shared" si="3"/>
        <v>6444</v>
      </c>
      <c r="G10" s="2">
        <f t="shared" si="3"/>
        <v>6158</v>
      </c>
      <c r="H10" s="2">
        <f>H9-H11</f>
        <v>6367</v>
      </c>
      <c r="I10" s="2">
        <f t="shared" ref="I10:L10" si="4">I9-I11</f>
        <v>9447</v>
      </c>
      <c r="J10" s="2">
        <f t="shared" si="4"/>
        <v>7194</v>
      </c>
      <c r="K10" s="2">
        <f t="shared" si="4"/>
        <v>6863</v>
      </c>
      <c r="L10" s="2">
        <f t="shared" si="4"/>
        <v>7246</v>
      </c>
      <c r="M10" s="2">
        <f>I10*1.1</f>
        <v>10391.700000000001</v>
      </c>
      <c r="N10" s="2">
        <f>J10*1.1</f>
        <v>7913.4000000000005</v>
      </c>
      <c r="O10" s="2"/>
      <c r="P10" s="2"/>
      <c r="Q10" s="2"/>
      <c r="R10" s="2"/>
      <c r="S10" s="2"/>
      <c r="T10" s="2">
        <f>SUM(C10:F10)</f>
        <v>34646</v>
      </c>
      <c r="U10" s="2">
        <f>SUM(G10:J10)</f>
        <v>29166</v>
      </c>
      <c r="V10" s="2">
        <f>SUM(K10:N10)</f>
        <v>32414.100000000002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2:35" x14ac:dyDescent="0.3">
      <c r="B11" t="s">
        <v>16</v>
      </c>
      <c r="C11">
        <v>7922</v>
      </c>
      <c r="D11">
        <v>8700</v>
      </c>
      <c r="E11">
        <v>8430</v>
      </c>
      <c r="F11">
        <v>9238</v>
      </c>
      <c r="G11">
        <v>7027</v>
      </c>
      <c r="H11" s="2">
        <v>7852</v>
      </c>
      <c r="I11" s="2">
        <v>8171</v>
      </c>
      <c r="J11" s="2">
        <v>9500</v>
      </c>
      <c r="K11" s="2">
        <v>7335</v>
      </c>
      <c r="L11" s="2">
        <v>8290</v>
      </c>
      <c r="M11" s="2">
        <f>M9-M10</f>
        <v>7402.48</v>
      </c>
      <c r="N11" s="2">
        <f>N9-N10</f>
        <v>8947.5399999999972</v>
      </c>
      <c r="O11" s="2"/>
      <c r="P11" s="2"/>
      <c r="Q11" s="2"/>
      <c r="R11" s="2">
        <v>36448</v>
      </c>
      <c r="S11" s="2">
        <v>36936</v>
      </c>
      <c r="T11" s="2">
        <f>T9-T10</f>
        <v>34290</v>
      </c>
      <c r="U11" s="2">
        <f t="shared" ref="U11:V11" si="5">U9-U10</f>
        <v>32550</v>
      </c>
      <c r="V11" s="2">
        <f t="shared" si="5"/>
        <v>31975.019999999993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2:35" x14ac:dyDescent="0.3">
      <c r="B12" t="s">
        <v>18</v>
      </c>
      <c r="C12">
        <v>5955</v>
      </c>
      <c r="D12">
        <v>5248</v>
      </c>
      <c r="E12">
        <v>4647</v>
      </c>
      <c r="F12">
        <v>6256</v>
      </c>
      <c r="G12">
        <v>4688</v>
      </c>
      <c r="H12" s="2">
        <v>4849</v>
      </c>
      <c r="I12" s="2">
        <v>4860</v>
      </c>
      <c r="J12" s="2">
        <v>4903</v>
      </c>
      <c r="K12" s="2">
        <v>4597</v>
      </c>
      <c r="L12" s="2">
        <v>4855</v>
      </c>
      <c r="M12" s="2">
        <f>I12*1.05</f>
        <v>5103</v>
      </c>
      <c r="N12" s="2">
        <f>J12*1.05</f>
        <v>5148.1500000000005</v>
      </c>
      <c r="O12" s="2"/>
      <c r="P12" s="2"/>
      <c r="Q12" s="2"/>
      <c r="R12" s="2">
        <v>19366</v>
      </c>
      <c r="S12" s="2">
        <v>20604</v>
      </c>
      <c r="T12" s="2">
        <f>SUM(C12:F12)</f>
        <v>22106</v>
      </c>
      <c r="U12" s="2">
        <f>SUM(G12:J12)</f>
        <v>19300</v>
      </c>
      <c r="V12" s="2">
        <f>SUM(K12:N12)</f>
        <v>19703.150000000001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2:35" x14ac:dyDescent="0.3">
      <c r="B13" t="s">
        <v>19</v>
      </c>
      <c r="C13">
        <v>1625</v>
      </c>
      <c r="D13">
        <v>1582</v>
      </c>
      <c r="E13">
        <v>1515</v>
      </c>
      <c r="F13">
        <v>1592</v>
      </c>
      <c r="G13">
        <v>1616</v>
      </c>
      <c r="H13" s="2">
        <v>1641</v>
      </c>
      <c r="I13" s="2">
        <v>1621</v>
      </c>
      <c r="J13" s="2">
        <v>1625</v>
      </c>
      <c r="K13" s="2">
        <v>1679</v>
      </c>
      <c r="L13" s="2">
        <v>1673</v>
      </c>
      <c r="M13" s="2">
        <f>I13*1.05</f>
        <v>1702.0500000000002</v>
      </c>
      <c r="N13" s="2">
        <f>J13*1.05</f>
        <v>1706.25</v>
      </c>
      <c r="O13" s="2"/>
      <c r="P13" s="2"/>
      <c r="Q13" s="2"/>
      <c r="R13" s="2">
        <v>5379</v>
      </c>
      <c r="S13" s="2">
        <v>5989</v>
      </c>
      <c r="T13" s="2">
        <f t="shared" ref="T13:T17" si="6">SUM(C13:F13)</f>
        <v>6314</v>
      </c>
      <c r="U13" s="2">
        <f t="shared" ref="U13:U19" si="7">SUM(G13:J13)</f>
        <v>6503</v>
      </c>
      <c r="V13" s="2">
        <f t="shared" ref="V13:V19" si="8">SUM(K13:N13)</f>
        <v>6760.3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2:35" x14ac:dyDescent="0.3">
      <c r="B14" t="s">
        <v>20</v>
      </c>
      <c r="C14">
        <f>-116+182</f>
        <v>66</v>
      </c>
      <c r="D14">
        <f>-203+179</f>
        <v>-24</v>
      </c>
      <c r="E14">
        <f>-134+253</f>
        <v>119</v>
      </c>
      <c r="F14">
        <f>-171+230</f>
        <v>59</v>
      </c>
      <c r="G14">
        <f>-146+346</f>
        <v>200</v>
      </c>
      <c r="H14" s="2">
        <f>133-302</f>
        <v>-169</v>
      </c>
      <c r="I14" s="2">
        <f>-153+234</f>
        <v>81</v>
      </c>
      <c r="J14" s="2">
        <f>-181-18</f>
        <v>-199</v>
      </c>
      <c r="K14" s="2">
        <f>-121+246</f>
        <v>125</v>
      </c>
      <c r="L14" s="2">
        <f>-176-81</f>
        <v>-257</v>
      </c>
      <c r="M14" s="2">
        <v>0</v>
      </c>
      <c r="N14" s="2">
        <v>0</v>
      </c>
      <c r="O14" s="2"/>
      <c r="P14" s="2"/>
      <c r="Q14" s="2"/>
      <c r="R14" s="2">
        <f>-1026+1152</f>
        <v>126</v>
      </c>
      <c r="S14" s="2">
        <f>-648-968</f>
        <v>-1616</v>
      </c>
      <c r="T14" s="2">
        <f t="shared" si="6"/>
        <v>220</v>
      </c>
      <c r="U14" s="2">
        <f t="shared" si="7"/>
        <v>-87</v>
      </c>
      <c r="V14" s="2">
        <f t="shared" si="8"/>
        <v>-132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2:35" x14ac:dyDescent="0.3">
      <c r="B15" t="s">
        <v>21</v>
      </c>
      <c r="C15">
        <v>326</v>
      </c>
      <c r="D15">
        <v>323</v>
      </c>
      <c r="E15">
        <v>323</v>
      </c>
      <c r="F15">
        <v>317</v>
      </c>
      <c r="G15">
        <v>280</v>
      </c>
      <c r="H15" s="2">
        <v>281</v>
      </c>
      <c r="I15" s="2">
        <v>291</v>
      </c>
      <c r="J15" s="2">
        <v>303</v>
      </c>
      <c r="K15" s="2">
        <v>311</v>
      </c>
      <c r="L15" s="2">
        <v>297</v>
      </c>
      <c r="M15" s="2">
        <f>L15*1.2</f>
        <v>356.4</v>
      </c>
      <c r="N15" s="2">
        <f>M15*1.05</f>
        <v>374.21999999999997</v>
      </c>
      <c r="O15" s="2"/>
      <c r="P15" s="2"/>
      <c r="Q15" s="2"/>
      <c r="R15" s="2">
        <v>723</v>
      </c>
      <c r="S15" s="2">
        <v>1344</v>
      </c>
      <c r="T15" s="2">
        <f t="shared" si="6"/>
        <v>1289</v>
      </c>
      <c r="U15" s="2">
        <f t="shared" si="7"/>
        <v>1155</v>
      </c>
      <c r="V15" s="2">
        <f t="shared" si="8"/>
        <v>1338.62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2:35" x14ac:dyDescent="0.3">
      <c r="B16" t="s">
        <v>22</v>
      </c>
      <c r="C16" s="2">
        <f>C11-C12-C13-C14-C15</f>
        <v>-50</v>
      </c>
      <c r="D16" s="2">
        <f>D11-D12-D13-D14-D15</f>
        <v>1571</v>
      </c>
      <c r="E16" s="2">
        <f>E11-E12-E13-E14-E15</f>
        <v>1826</v>
      </c>
      <c r="F16" s="2">
        <f>F11-F12-F13-F14-F15</f>
        <v>1014</v>
      </c>
      <c r="G16" s="2">
        <f>G11-G12-G13-G14-G15</f>
        <v>243</v>
      </c>
      <c r="H16" s="2">
        <f>H11-H12-H13+H14-H15</f>
        <v>912</v>
      </c>
      <c r="I16" s="2">
        <f>I11-I12-I13-I14-I15</f>
        <v>1318</v>
      </c>
      <c r="J16" s="2">
        <f>J11-J12-J13-J14-J15</f>
        <v>2868</v>
      </c>
      <c r="K16" s="2">
        <f>K11-K12-K13-K14-K15</f>
        <v>623</v>
      </c>
      <c r="L16" s="2">
        <f>L11-L12-L13-L14-L15</f>
        <v>1722</v>
      </c>
      <c r="M16" s="2">
        <f>M11-M12-M13-M14-M15</f>
        <v>241.0299999999994</v>
      </c>
      <c r="N16" s="2">
        <f>N11-N12-N13-N14-N15</f>
        <v>1718.9199999999967</v>
      </c>
      <c r="O16" s="2"/>
      <c r="P16" s="2"/>
      <c r="Q16" s="2"/>
      <c r="R16" s="2">
        <f>R11-R12-R13-R14-R15</f>
        <v>10854</v>
      </c>
      <c r="S16" s="2">
        <f>S11-S12-S13-S14-S15</f>
        <v>10615</v>
      </c>
      <c r="T16" s="2">
        <f t="shared" ref="T16:V16" si="9">T11-T12-T13-T14-T15</f>
        <v>4361</v>
      </c>
      <c r="U16" s="2">
        <f t="shared" si="9"/>
        <v>5679</v>
      </c>
      <c r="V16" s="2">
        <f t="shared" si="9"/>
        <v>4304.9499999999916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2:79" x14ac:dyDescent="0.3">
      <c r="B17" t="s">
        <v>23</v>
      </c>
      <c r="C17">
        <v>-1226</v>
      </c>
      <c r="D17">
        <v>209</v>
      </c>
      <c r="E17">
        <v>128</v>
      </c>
      <c r="F17">
        <v>-175</v>
      </c>
      <c r="G17">
        <v>-160</v>
      </c>
      <c r="H17" s="2">
        <f>101</f>
        <v>101</v>
      </c>
      <c r="I17" s="2">
        <v>188</v>
      </c>
      <c r="J17" s="2">
        <v>407</v>
      </c>
      <c r="K17" s="2">
        <v>-39</v>
      </c>
      <c r="L17" s="2">
        <v>257</v>
      </c>
      <c r="M17" s="2">
        <f>M16*M30</f>
        <v>36.154499999999906</v>
      </c>
      <c r="N17" s="2">
        <f>N16*N30</f>
        <v>257.83799999999951</v>
      </c>
      <c r="O17" s="2"/>
      <c r="P17" s="2"/>
      <c r="Q17" s="2"/>
      <c r="R17" s="2">
        <v>2619</v>
      </c>
      <c r="S17" s="2">
        <v>731</v>
      </c>
      <c r="T17" s="2">
        <f t="shared" si="6"/>
        <v>-1064</v>
      </c>
      <c r="U17" s="2">
        <f t="shared" si="7"/>
        <v>536</v>
      </c>
      <c r="V17" s="2">
        <f t="shared" si="8"/>
        <v>511.99249999999938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2:79" x14ac:dyDescent="0.3">
      <c r="B18" t="s">
        <v>24</v>
      </c>
      <c r="C18" s="2">
        <f t="shared" ref="C18:G18" si="10">C16-C17</f>
        <v>1176</v>
      </c>
      <c r="D18" s="2">
        <f t="shared" si="10"/>
        <v>1362</v>
      </c>
      <c r="E18" s="2">
        <f t="shared" si="10"/>
        <v>1698</v>
      </c>
      <c r="F18" s="2">
        <f t="shared" si="10"/>
        <v>1189</v>
      </c>
      <c r="G18" s="2">
        <f t="shared" si="10"/>
        <v>403</v>
      </c>
      <c r="H18" s="2">
        <f>H16-H17</f>
        <v>811</v>
      </c>
      <c r="I18" s="2">
        <f t="shared" ref="I18:L18" si="11">I16-I17</f>
        <v>1130</v>
      </c>
      <c r="J18" s="2">
        <f t="shared" si="11"/>
        <v>2461</v>
      </c>
      <c r="K18" s="2">
        <f t="shared" si="11"/>
        <v>662</v>
      </c>
      <c r="L18" s="2">
        <f t="shared" si="11"/>
        <v>1465</v>
      </c>
      <c r="M18" s="2">
        <f>SUM(M16-M17)</f>
        <v>204.87549999999951</v>
      </c>
      <c r="N18" s="2">
        <f t="shared" ref="N18:O18" si="12">SUM(N16-N17)</f>
        <v>1461.0819999999972</v>
      </c>
      <c r="O18" s="2"/>
      <c r="P18" s="2"/>
      <c r="Q18" s="2"/>
      <c r="R18" s="2">
        <f>R16-R17</f>
        <v>8235</v>
      </c>
      <c r="S18" s="2">
        <f>S16-S17</f>
        <v>9884</v>
      </c>
      <c r="T18" s="2">
        <f>T16-T17</f>
        <v>5425</v>
      </c>
      <c r="U18" s="2">
        <f t="shared" ref="U18:V18" si="13">U16-U17</f>
        <v>5143</v>
      </c>
      <c r="V18" s="2">
        <f t="shared" si="13"/>
        <v>3792.9574999999923</v>
      </c>
      <c r="W18" s="2">
        <f>W9*W28</f>
        <v>5666.2425599999997</v>
      </c>
      <c r="X18" s="2">
        <f t="shared" ref="X18:AA18" si="14">X9*X28</f>
        <v>6232.8668159999988</v>
      </c>
      <c r="Y18" s="2">
        <f t="shared" si="14"/>
        <v>6856.1534975999994</v>
      </c>
      <c r="Z18" s="2">
        <f t="shared" si="14"/>
        <v>7541.7688473599992</v>
      </c>
      <c r="AA18" s="2">
        <f t="shared" si="14"/>
        <v>8295.9457320959991</v>
      </c>
      <c r="AB18" s="2"/>
      <c r="AC18" s="2"/>
      <c r="AD18" s="2"/>
      <c r="AE18" s="2"/>
      <c r="AF18" s="2"/>
      <c r="AG18" s="2"/>
      <c r="AH18" s="2"/>
      <c r="AI18" s="2"/>
    </row>
    <row r="19" spans="2:79" x14ac:dyDescent="0.3">
      <c r="B19" t="s">
        <v>25</v>
      </c>
      <c r="C19">
        <v>1.31</v>
      </c>
      <c r="D19">
        <v>1.52</v>
      </c>
      <c r="E19">
        <v>1.89</v>
      </c>
      <c r="F19">
        <v>1.32</v>
      </c>
      <c r="G19">
        <v>0.45</v>
      </c>
      <c r="H19">
        <v>0.9</v>
      </c>
      <c r="I19">
        <v>1.25</v>
      </c>
      <c r="J19">
        <v>2.72</v>
      </c>
      <c r="K19">
        <v>0.73</v>
      </c>
      <c r="L19">
        <v>1.61</v>
      </c>
      <c r="M19" s="3">
        <f>M18/M20</f>
        <v>0.22447984034245336</v>
      </c>
      <c r="N19" s="3">
        <f>N18/N20</f>
        <v>1.5961032273111797</v>
      </c>
      <c r="R19">
        <v>9.51</v>
      </c>
      <c r="S19">
        <v>10.63</v>
      </c>
      <c r="T19">
        <f>SUM(C19:F19)</f>
        <v>6.04</v>
      </c>
      <c r="U19" s="2">
        <f t="shared" si="7"/>
        <v>5.32</v>
      </c>
      <c r="V19" s="2">
        <f t="shared" si="8"/>
        <v>4.1605830676536328</v>
      </c>
      <c r="W19" s="3">
        <f>W18/W20</f>
        <v>6.1538939652389564</v>
      </c>
      <c r="X19" s="3">
        <f t="shared" ref="X19:AA19" si="15">X18/X20</f>
        <v>6.7022607542206449</v>
      </c>
      <c r="Y19" s="3">
        <f t="shared" si="15"/>
        <v>7.2994919105373368</v>
      </c>
      <c r="Z19" s="3">
        <f t="shared" si="15"/>
        <v>7.9499416847436342</v>
      </c>
      <c r="AA19" s="3">
        <f t="shared" si="15"/>
        <v>8.6583523299188094</v>
      </c>
      <c r="AB19" s="3">
        <f>AA19*1.02</f>
        <v>8.8315193765171855</v>
      </c>
      <c r="AC19" s="3">
        <f t="shared" ref="AC19:AF19" si="16">AB19*1.02</f>
        <v>9.0081497640475288</v>
      </c>
      <c r="AD19" s="3">
        <f t="shared" si="16"/>
        <v>9.188312759328479</v>
      </c>
      <c r="AE19" s="3">
        <f t="shared" si="16"/>
        <v>9.3720790145150481</v>
      </c>
      <c r="AF19" s="3">
        <f t="shared" si="16"/>
        <v>9.559520594805349</v>
      </c>
      <c r="AG19" s="3">
        <f>AF19</f>
        <v>9.559520594805349</v>
      </c>
      <c r="AH19" s="3">
        <f t="shared" ref="AH19:AK19" si="17">AG19</f>
        <v>9.559520594805349</v>
      </c>
      <c r="AI19" s="3">
        <f t="shared" si="17"/>
        <v>9.559520594805349</v>
      </c>
      <c r="AJ19" s="3">
        <f t="shared" si="17"/>
        <v>9.559520594805349</v>
      </c>
      <c r="AK19" s="3">
        <f t="shared" si="17"/>
        <v>9.559520594805349</v>
      </c>
      <c r="AL19" s="3">
        <f t="shared" ref="AH19:CA19" si="18">AK19*0.95</f>
        <v>9.0815445650650819</v>
      </c>
      <c r="AM19" s="3">
        <f t="shared" si="18"/>
        <v>8.6274673368118275</v>
      </c>
      <c r="AN19" s="3">
        <f t="shared" si="18"/>
        <v>8.1960939699712352</v>
      </c>
      <c r="AO19" s="3">
        <f t="shared" si="18"/>
        <v>7.7862892714726728</v>
      </c>
      <c r="AP19" s="3">
        <f t="shared" si="18"/>
        <v>7.3969748078990385</v>
      </c>
      <c r="AQ19" s="3">
        <f t="shared" si="18"/>
        <v>7.0271260675040859</v>
      </c>
      <c r="AR19" s="3">
        <f t="shared" si="18"/>
        <v>6.6757697641288809</v>
      </c>
      <c r="AS19" s="3">
        <f t="shared" si="18"/>
        <v>6.3419812759224365</v>
      </c>
      <c r="AT19" s="3">
        <f t="shared" si="18"/>
        <v>6.0248822121263146</v>
      </c>
      <c r="AU19" s="3">
        <f t="shared" si="18"/>
        <v>5.7236381015199989</v>
      </c>
      <c r="AV19" s="3">
        <f t="shared" si="18"/>
        <v>5.4374561964439989</v>
      </c>
      <c r="AW19" s="3">
        <f t="shared" si="18"/>
        <v>5.1655833866217984</v>
      </c>
      <c r="AX19" s="3">
        <f t="shared" si="18"/>
        <v>4.907304217290708</v>
      </c>
      <c r="AY19" s="3">
        <f t="shared" si="18"/>
        <v>4.6619390064261728</v>
      </c>
      <c r="AZ19" s="3">
        <f t="shared" si="18"/>
        <v>4.4288420561048643</v>
      </c>
      <c r="BA19" s="3">
        <f t="shared" si="18"/>
        <v>4.2073999532996211</v>
      </c>
      <c r="BB19" s="3">
        <f t="shared" si="18"/>
        <v>3.9970299556346398</v>
      </c>
      <c r="BC19" s="3">
        <f t="shared" si="18"/>
        <v>3.7971784578529078</v>
      </c>
      <c r="BD19" s="3">
        <f t="shared" si="18"/>
        <v>3.6073195349602623</v>
      </c>
      <c r="BE19" s="3">
        <f t="shared" si="18"/>
        <v>3.426953558212249</v>
      </c>
      <c r="BF19" s="3">
        <f t="shared" si="18"/>
        <v>3.2556058803016366</v>
      </c>
      <c r="BG19" s="3">
        <f t="shared" si="18"/>
        <v>3.0928255862865548</v>
      </c>
      <c r="BH19" s="3">
        <f t="shared" si="18"/>
        <v>2.9381843069722269</v>
      </c>
      <c r="BI19" s="3">
        <f t="shared" si="18"/>
        <v>2.7912750916236155</v>
      </c>
      <c r="BJ19" s="3">
        <f t="shared" si="18"/>
        <v>2.6517113370424346</v>
      </c>
      <c r="BK19" s="3">
        <f t="shared" si="18"/>
        <v>2.5191257701903127</v>
      </c>
      <c r="BL19" s="3">
        <f t="shared" si="18"/>
        <v>2.3931694816807969</v>
      </c>
      <c r="BM19" s="3">
        <f t="shared" si="18"/>
        <v>2.2735110075967571</v>
      </c>
      <c r="BN19" s="3">
        <f t="shared" si="18"/>
        <v>2.1598354572169192</v>
      </c>
      <c r="BO19" s="3">
        <f t="shared" si="18"/>
        <v>2.051843684356073</v>
      </c>
      <c r="BP19" s="3">
        <f t="shared" si="18"/>
        <v>1.9492515001382693</v>
      </c>
      <c r="BQ19" s="3">
        <f t="shared" si="18"/>
        <v>1.8517889251313557</v>
      </c>
      <c r="BR19" s="3">
        <f t="shared" si="18"/>
        <v>1.7591994788747878</v>
      </c>
      <c r="BS19" s="3">
        <f t="shared" si="18"/>
        <v>1.6712395049310482</v>
      </c>
      <c r="BT19" s="3">
        <f t="shared" si="18"/>
        <v>1.5876775296844958</v>
      </c>
      <c r="BU19" s="3">
        <f t="shared" si="18"/>
        <v>1.5082936532002709</v>
      </c>
      <c r="BV19" s="3">
        <f t="shared" si="18"/>
        <v>1.4328789705402571</v>
      </c>
      <c r="BW19" s="3">
        <f t="shared" si="18"/>
        <v>1.3612350220132443</v>
      </c>
      <c r="BX19" s="3">
        <f t="shared" si="18"/>
        <v>1.2931732709125821</v>
      </c>
      <c r="BY19" s="3">
        <f t="shared" si="18"/>
        <v>1.2285146073669528</v>
      </c>
      <c r="BZ19" s="3">
        <f t="shared" si="18"/>
        <v>1.1670888769986052</v>
      </c>
      <c r="CA19" s="3">
        <f t="shared" si="18"/>
        <v>1.1087344331486748</v>
      </c>
    </row>
    <row r="20" spans="2:79" x14ac:dyDescent="0.3">
      <c r="B20" t="s">
        <v>1</v>
      </c>
      <c r="C20" s="3">
        <f t="shared" ref="C20:G20" si="19">C18/C19</f>
        <v>897.70992366412213</v>
      </c>
      <c r="D20" s="3">
        <f t="shared" si="19"/>
        <v>896.0526315789474</v>
      </c>
      <c r="E20" s="3">
        <f t="shared" si="19"/>
        <v>898.41269841269843</v>
      </c>
      <c r="F20" s="3">
        <f t="shared" si="19"/>
        <v>900.75757575757575</v>
      </c>
      <c r="G20" s="3">
        <f t="shared" si="19"/>
        <v>895.55555555555554</v>
      </c>
      <c r="H20" s="3">
        <f>H18/H19</f>
        <v>901.11111111111109</v>
      </c>
      <c r="I20" s="3">
        <f t="shared" ref="I20:L20" si="20">I18/I19</f>
        <v>904</v>
      </c>
      <c r="J20" s="3">
        <f t="shared" si="20"/>
        <v>904.77941176470586</v>
      </c>
      <c r="K20" s="3">
        <f t="shared" si="20"/>
        <v>906.84931506849318</v>
      </c>
      <c r="L20" s="3">
        <f t="shared" si="20"/>
        <v>909.93788819875772</v>
      </c>
      <c r="M20" s="3">
        <f>L20+L20*M38</f>
        <v>912.66770186335395</v>
      </c>
      <c r="N20" s="3">
        <f>M20+M20*N38</f>
        <v>915.40570496894406</v>
      </c>
      <c r="R20">
        <f>R18/R19</f>
        <v>865.93059936908514</v>
      </c>
      <c r="S20">
        <f>S18/S19</f>
        <v>929.82126058325491</v>
      </c>
      <c r="T20">
        <f>T18/T19</f>
        <v>898.17880794701989</v>
      </c>
      <c r="U20">
        <f t="shared" ref="U20:V20" si="21">U18/U19</f>
        <v>966.72932330827064</v>
      </c>
      <c r="V20">
        <f t="shared" si="21"/>
        <v>911.64085377558308</v>
      </c>
      <c r="W20">
        <f>V20+V20*W38</f>
        <v>920.75726231333897</v>
      </c>
      <c r="X20">
        <f t="shared" ref="X20:AA20" si="22">W20+W20*X38</f>
        <v>929.96483493647236</v>
      </c>
      <c r="Y20">
        <f t="shared" si="22"/>
        <v>939.26448328583706</v>
      </c>
      <c r="Z20">
        <f t="shared" si="22"/>
        <v>948.65712811869548</v>
      </c>
      <c r="AA20">
        <f t="shared" si="22"/>
        <v>958.14369939988239</v>
      </c>
    </row>
    <row r="22" spans="2:79" x14ac:dyDescent="0.3">
      <c r="B22" t="s">
        <v>26</v>
      </c>
      <c r="F22" s="4">
        <v>0.78800000000000003</v>
      </c>
      <c r="G22" s="4">
        <v>0.77800000000000002</v>
      </c>
      <c r="H22" s="4">
        <v>0.79700000000000004</v>
      </c>
      <c r="J22" s="4">
        <v>0.80900000000000005</v>
      </c>
      <c r="K22" s="4">
        <v>0.78800000000000003</v>
      </c>
      <c r="L22" s="4">
        <v>0.79200000000000004</v>
      </c>
    </row>
    <row r="23" spans="2:79" x14ac:dyDescent="0.3">
      <c r="B23" t="s">
        <v>27</v>
      </c>
      <c r="F23" s="6">
        <v>0.28000000000000003</v>
      </c>
      <c r="G23" s="4">
        <v>0.27800000000000002</v>
      </c>
      <c r="H23" s="4">
        <v>0.27600000000000002</v>
      </c>
      <c r="J23" s="6">
        <v>0.27</v>
      </c>
      <c r="K23" s="4">
        <v>0.24299999999999999</v>
      </c>
      <c r="L23" s="4">
        <v>0.24199999999999999</v>
      </c>
    </row>
    <row r="24" spans="2:79" x14ac:dyDescent="0.3">
      <c r="B24" t="s">
        <v>30</v>
      </c>
      <c r="F24" s="4">
        <v>0.55300000000000005</v>
      </c>
      <c r="G24" s="4">
        <v>0.56299999999999994</v>
      </c>
      <c r="H24" s="4">
        <v>0.57099999999999995</v>
      </c>
      <c r="J24" s="4">
        <v>0.54800000000000004</v>
      </c>
      <c r="K24" s="4">
        <v>0.505</v>
      </c>
      <c r="L24" s="4">
        <v>0.53800000000000003</v>
      </c>
    </row>
    <row r="25" spans="2:79" x14ac:dyDescent="0.3">
      <c r="B25" t="s">
        <v>29</v>
      </c>
      <c r="F25" s="4">
        <v>0.317</v>
      </c>
      <c r="G25" s="4">
        <v>0.35499999999999998</v>
      </c>
      <c r="H25" s="4">
        <v>0.29899999999999999</v>
      </c>
      <c r="J25" s="4">
        <v>0.32500000000000001</v>
      </c>
      <c r="K25" s="4">
        <v>0.377</v>
      </c>
      <c r="L25" s="4">
        <v>0.35299999999999998</v>
      </c>
    </row>
    <row r="26" spans="2:79" x14ac:dyDescent="0.3">
      <c r="B26" t="s">
        <v>28</v>
      </c>
      <c r="C26" s="5">
        <f t="shared" ref="C26:G26" si="23">C11/C9</f>
        <v>0.45085652495589323</v>
      </c>
      <c r="D26" s="5">
        <f t="shared" si="23"/>
        <v>0.48005297136235725</v>
      </c>
      <c r="E26" s="5">
        <f t="shared" si="23"/>
        <v>0.48006833712984054</v>
      </c>
      <c r="F26" s="5">
        <f t="shared" si="23"/>
        <v>0.5890830251243464</v>
      </c>
      <c r="G26" s="5">
        <f t="shared" si="23"/>
        <v>0.53295411452408037</v>
      </c>
      <c r="H26" s="5">
        <f>H11/H9</f>
        <v>0.5522188620859414</v>
      </c>
      <c r="I26" s="5">
        <f t="shared" ref="I26:L26" si="24">I11/I9</f>
        <v>0.46378703598592347</v>
      </c>
      <c r="J26" s="5">
        <f t="shared" si="24"/>
        <v>0.56906673056187851</v>
      </c>
      <c r="K26" s="5">
        <f t="shared" si="24"/>
        <v>0.51662205944499229</v>
      </c>
      <c r="L26" s="5">
        <f t="shared" si="24"/>
        <v>0.53359938208032953</v>
      </c>
      <c r="AE26" t="s">
        <v>65</v>
      </c>
      <c r="AF26" s="6">
        <v>0.1</v>
      </c>
      <c r="AG26" t="s">
        <v>66</v>
      </c>
    </row>
    <row r="27" spans="2:79" x14ac:dyDescent="0.3">
      <c r="AE27" s="10" t="s">
        <v>67</v>
      </c>
      <c r="AF27" s="11">
        <f>NPV(AF26,V19:CA19)</f>
        <v>74.157431270673811</v>
      </c>
    </row>
    <row r="28" spans="2:79" x14ac:dyDescent="0.3">
      <c r="B28" t="s">
        <v>41</v>
      </c>
      <c r="C28" s="7">
        <f>C18/C9</f>
        <v>6.6928461669796824E-2</v>
      </c>
      <c r="D28" s="7">
        <f t="shared" ref="D28:L28" si="25">D18/D9</f>
        <v>7.5153120344313859E-2</v>
      </c>
      <c r="E28" s="7">
        <f t="shared" si="25"/>
        <v>9.6697038724373574E-2</v>
      </c>
      <c r="F28" s="7">
        <f t="shared" si="25"/>
        <v>7.5819410789440128E-2</v>
      </c>
      <c r="G28" s="7">
        <f t="shared" si="25"/>
        <v>3.056503602578688E-2</v>
      </c>
      <c r="H28" s="7">
        <f t="shared" si="25"/>
        <v>5.703635980026725E-2</v>
      </c>
      <c r="I28" s="7">
        <f t="shared" si="25"/>
        <v>6.413894880236122E-2</v>
      </c>
      <c r="J28" s="7">
        <f t="shared" si="25"/>
        <v>0.14741823409608243</v>
      </c>
      <c r="K28" s="7">
        <f t="shared" si="25"/>
        <v>4.6626285392308779E-2</v>
      </c>
      <c r="L28" s="7">
        <f t="shared" si="25"/>
        <v>9.4297116374871273E-2</v>
      </c>
      <c r="M28" s="6">
        <v>0.05</v>
      </c>
      <c r="N28" s="6">
        <v>0.05</v>
      </c>
      <c r="R28" s="8">
        <f t="shared" ref="R28:S28" si="26">R18/R9</f>
        <v>0.10346647233983741</v>
      </c>
      <c r="S28" s="8">
        <f t="shared" si="26"/>
        <v>0.12811904545866981</v>
      </c>
      <c r="T28" s="8">
        <f>T18/T9</f>
        <v>7.8696181965881393E-2</v>
      </c>
      <c r="U28" s="8">
        <f>U18/U9</f>
        <v>8.3333333333333329E-2</v>
      </c>
      <c r="V28" s="8">
        <f>V18/V9</f>
        <v>5.8906807547610414E-2</v>
      </c>
      <c r="W28" s="6">
        <v>0.08</v>
      </c>
      <c r="X28" s="6">
        <v>0.08</v>
      </c>
      <c r="Y28" s="6">
        <v>0.08</v>
      </c>
      <c r="Z28" s="6">
        <v>0.08</v>
      </c>
      <c r="AA28" s="6">
        <v>0.08</v>
      </c>
    </row>
    <row r="29" spans="2:79" x14ac:dyDescent="0.3">
      <c r="AE29" t="s">
        <v>68</v>
      </c>
      <c r="AF29" s="2">
        <f>Main!E9</f>
        <v>160077.04920000001</v>
      </c>
    </row>
    <row r="30" spans="2:79" x14ac:dyDescent="0.3">
      <c r="B30" t="s">
        <v>64</v>
      </c>
      <c r="C30" s="7">
        <f t="shared" ref="C30:K30" si="27">C17/C16</f>
        <v>24.52</v>
      </c>
      <c r="D30" s="7">
        <f t="shared" si="27"/>
        <v>0.13303628262253342</v>
      </c>
      <c r="E30" s="7">
        <f t="shared" si="27"/>
        <v>7.0098576122672507E-2</v>
      </c>
      <c r="F30" s="7">
        <f t="shared" si="27"/>
        <v>-0.17258382642998027</v>
      </c>
      <c r="G30" s="7">
        <f t="shared" si="27"/>
        <v>-0.65843621399176955</v>
      </c>
      <c r="H30" s="7">
        <f t="shared" si="27"/>
        <v>0.11074561403508772</v>
      </c>
      <c r="I30" s="7">
        <f t="shared" si="27"/>
        <v>0.14264036418816389</v>
      </c>
      <c r="J30" s="7">
        <f t="shared" si="27"/>
        <v>0.14191073919107391</v>
      </c>
      <c r="K30" s="7">
        <f t="shared" si="27"/>
        <v>-6.2600321027287326E-2</v>
      </c>
      <c r="L30" s="7">
        <f>L17/L16</f>
        <v>0.14924506387921022</v>
      </c>
      <c r="M30" s="6">
        <v>0.15</v>
      </c>
      <c r="N30" s="6">
        <v>0.15</v>
      </c>
      <c r="AE30" t="s">
        <v>1</v>
      </c>
      <c r="AF30" s="3">
        <f>L20</f>
        <v>909.93788819875772</v>
      </c>
    </row>
    <row r="31" spans="2:79" x14ac:dyDescent="0.3">
      <c r="AE31" s="10" t="s">
        <v>69</v>
      </c>
      <c r="AF31" s="12">
        <f>AF29/AF30</f>
        <v>175.92085270443687</v>
      </c>
    </row>
    <row r="32" spans="2:79" x14ac:dyDescent="0.3">
      <c r="B32" t="s">
        <v>62</v>
      </c>
      <c r="J32" s="8">
        <f t="shared" ref="J32:K35" si="28">J4/F4-1</f>
        <v>8.2452745944336936E-2</v>
      </c>
      <c r="K32" s="8">
        <f t="shared" si="28"/>
        <v>0.12339431685480728</v>
      </c>
      <c r="L32" s="8">
        <f>L4/H4-1</f>
        <v>6.4020707506471153E-2</v>
      </c>
    </row>
    <row r="33" spans="2:32" x14ac:dyDescent="0.3">
      <c r="B33" t="s">
        <v>61</v>
      </c>
      <c r="J33" s="8">
        <f t="shared" si="28"/>
        <v>0.13107721639656811</v>
      </c>
      <c r="K33" s="8">
        <f t="shared" si="28"/>
        <v>0.1330361332707648</v>
      </c>
      <c r="L33" s="8">
        <f t="shared" ref="L33:L35" si="29">L5/H5-1</f>
        <v>9.8446779351301972E-2</v>
      </c>
      <c r="AE33" s="9" t="s">
        <v>70</v>
      </c>
      <c r="AF33" s="13">
        <f>AF27/AF31-1</f>
        <v>-0.57846139254869877</v>
      </c>
    </row>
    <row r="34" spans="2:32" x14ac:dyDescent="0.3">
      <c r="B34" t="s">
        <v>63</v>
      </c>
      <c r="J34" s="8">
        <f t="shared" si="28"/>
        <v>-2.4858757062147241E-3</v>
      </c>
      <c r="K34" s="8">
        <f t="shared" si="28"/>
        <v>-2.2471910112359605E-2</v>
      </c>
      <c r="L34" s="8">
        <f t="shared" si="29"/>
        <v>0.18960674157303381</v>
      </c>
    </row>
    <row r="35" spans="2:32" x14ac:dyDescent="0.3">
      <c r="B35" t="s">
        <v>60</v>
      </c>
      <c r="J35" s="8">
        <f t="shared" si="28"/>
        <v>-0.29508196721311475</v>
      </c>
      <c r="K35" s="8">
        <f t="shared" si="28"/>
        <v>-0.25961538461538458</v>
      </c>
      <c r="L35" s="8">
        <f t="shared" si="29"/>
        <v>-0.30143540669856461</v>
      </c>
    </row>
    <row r="36" spans="2:32" x14ac:dyDescent="0.3">
      <c r="B36" t="s">
        <v>44</v>
      </c>
      <c r="G36" s="8">
        <f>G9/C9-1</f>
        <v>-0.24961584428888506</v>
      </c>
      <c r="H36" s="8">
        <f>H9/D9-1</f>
        <v>-0.21541687358605088</v>
      </c>
      <c r="I36" s="8">
        <f>I9/E9-1</f>
        <v>3.3029612756263482E-3</v>
      </c>
      <c r="J36" s="8">
        <f>J9/F9-1</f>
        <v>6.4532585129447817E-2</v>
      </c>
      <c r="K36" s="8">
        <f>K9/G9-1</f>
        <v>7.6829730754645498E-2</v>
      </c>
      <c r="L36" s="8">
        <f>L9/H9-1</f>
        <v>9.2622547295871716E-2</v>
      </c>
      <c r="M36" s="8">
        <f t="shared" ref="M36:N36" si="30">M9/I9-1</f>
        <v>1.0000000000000009E-2</v>
      </c>
      <c r="N36" s="8">
        <f t="shared" si="30"/>
        <v>1.0000000000000009E-2</v>
      </c>
      <c r="V36" s="7">
        <f>V9/U9-1</f>
        <v>4.3313241298852834E-2</v>
      </c>
      <c r="W36" s="6">
        <v>0.1</v>
      </c>
      <c r="X36" s="6">
        <v>0.1</v>
      </c>
      <c r="Y36" s="6">
        <v>0.1</v>
      </c>
      <c r="Z36" s="6">
        <v>0.1</v>
      </c>
      <c r="AA36" s="6">
        <v>0.1</v>
      </c>
    </row>
    <row r="38" spans="2:32" x14ac:dyDescent="0.3">
      <c r="B38" t="s">
        <v>53</v>
      </c>
      <c r="D38" s="5">
        <f>D20/C20-1</f>
        <v>-1.84613319011806E-3</v>
      </c>
      <c r="E38" s="5">
        <f t="shared" ref="E38:L38" si="31">E20/D20-1</f>
        <v>2.6338484488264147E-3</v>
      </c>
      <c r="F38" s="5">
        <f t="shared" si="31"/>
        <v>2.6100224863474519E-3</v>
      </c>
      <c r="G38" s="5">
        <f t="shared" si="31"/>
        <v>-5.7751611998878571E-3</v>
      </c>
      <c r="H38" s="5">
        <f t="shared" si="31"/>
        <v>6.2034739454093213E-3</v>
      </c>
      <c r="I38" s="5">
        <f t="shared" si="31"/>
        <v>3.205918618989001E-3</v>
      </c>
      <c r="J38" s="5">
        <f t="shared" si="31"/>
        <v>8.6218115564817843E-4</v>
      </c>
      <c r="K38" s="5">
        <f t="shared" si="31"/>
        <v>2.2877435945962699E-3</v>
      </c>
      <c r="L38" s="5">
        <f t="shared" si="31"/>
        <v>3.4058283762736785E-3</v>
      </c>
      <c r="M38" s="4">
        <v>3.0000000000000001E-3</v>
      </c>
      <c r="N38" s="4">
        <v>3.0000000000000001E-3</v>
      </c>
      <c r="W38" s="6">
        <v>0.01</v>
      </c>
      <c r="X38" s="6">
        <v>0.01</v>
      </c>
      <c r="Y38" s="6">
        <v>0.01</v>
      </c>
      <c r="Z38" s="6">
        <v>0.01</v>
      </c>
      <c r="AA38" s="6">
        <v>0.01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3ECF-A371-4070-A92F-E0C5EA4F8C0A}">
  <dimension ref="C3:H23"/>
  <sheetViews>
    <sheetView workbookViewId="0">
      <selection activeCell="C11" sqref="C11:D11"/>
    </sheetView>
  </sheetViews>
  <sheetFormatPr defaultRowHeight="14.4" x14ac:dyDescent="0.3"/>
  <cols>
    <col min="3" max="3" width="25.77734375" bestFit="1" customWidth="1"/>
    <col min="5" max="5" width="10.77734375" customWidth="1"/>
  </cols>
  <sheetData>
    <row r="3" spans="3:8" x14ac:dyDescent="0.3">
      <c r="C3" t="s">
        <v>45</v>
      </c>
      <c r="E3" t="s">
        <v>47</v>
      </c>
      <c r="H3" t="s">
        <v>49</v>
      </c>
    </row>
    <row r="4" spans="3:8" x14ac:dyDescent="0.3">
      <c r="C4" t="s">
        <v>46</v>
      </c>
      <c r="D4">
        <v>27896</v>
      </c>
      <c r="E4" t="s">
        <v>48</v>
      </c>
      <c r="F4">
        <v>31844</v>
      </c>
      <c r="H4" s="9">
        <f>D4-F4</f>
        <v>-3948</v>
      </c>
    </row>
    <row r="5" spans="3:8" x14ac:dyDescent="0.3">
      <c r="H5" t="s">
        <v>76</v>
      </c>
    </row>
    <row r="7" spans="3:8" x14ac:dyDescent="0.3">
      <c r="C7" s="14" t="s">
        <v>50</v>
      </c>
      <c r="D7" s="14" t="s">
        <v>51</v>
      </c>
      <c r="E7" s="14"/>
    </row>
    <row r="9" spans="3:8" x14ac:dyDescent="0.3">
      <c r="C9" s="9" t="s">
        <v>52</v>
      </c>
      <c r="D9" s="9"/>
    </row>
    <row r="11" spans="3:8" x14ac:dyDescent="0.3">
      <c r="C11" s="9" t="s">
        <v>71</v>
      </c>
      <c r="D11" s="9"/>
    </row>
    <row r="14" spans="3:8" x14ac:dyDescent="0.3">
      <c r="C14" t="s">
        <v>72</v>
      </c>
      <c r="D14" s="2">
        <v>19476</v>
      </c>
    </row>
    <row r="15" spans="3:8" x14ac:dyDescent="0.3">
      <c r="C15" t="s">
        <v>73</v>
      </c>
      <c r="D15" s="2">
        <f>55039+11571</f>
        <v>66610</v>
      </c>
    </row>
    <row r="16" spans="3:8" x14ac:dyDescent="0.3">
      <c r="C16" t="s">
        <v>74</v>
      </c>
      <c r="D16" s="2">
        <f>D14-D15</f>
        <v>-47134</v>
      </c>
    </row>
    <row r="17" spans="3:4" x14ac:dyDescent="0.3">
      <c r="C17" t="s">
        <v>1</v>
      </c>
      <c r="D17">
        <f>Main!E4</f>
        <v>909.94</v>
      </c>
    </row>
    <row r="18" spans="3:4" x14ac:dyDescent="0.3">
      <c r="C18" s="9" t="s">
        <v>75</v>
      </c>
      <c r="D18" s="9">
        <f>D16/D17</f>
        <v>-51.799019715585636</v>
      </c>
    </row>
    <row r="21" spans="3:4" x14ac:dyDescent="0.3">
      <c r="C21" t="s">
        <v>4</v>
      </c>
      <c r="D21" s="2">
        <f>Main!E7</f>
        <v>50309</v>
      </c>
    </row>
    <row r="22" spans="3:4" x14ac:dyDescent="0.3">
      <c r="C22" t="s">
        <v>72</v>
      </c>
      <c r="D22" s="2">
        <f>D14</f>
        <v>19476</v>
      </c>
    </row>
    <row r="23" spans="3:4" x14ac:dyDescent="0.3">
      <c r="C23" s="9" t="s">
        <v>77</v>
      </c>
      <c r="D23" s="15">
        <f>D21/D22</f>
        <v>2.5831279523516124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Main</vt:lpstr>
      <vt:lpstr>Conto economico</vt:lpstr>
      <vt:lpstr>Bilancio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</dc:creator>
  <cp:lastModifiedBy>Gale</cp:lastModifiedBy>
  <dcterms:created xsi:type="dcterms:W3CDTF">2015-06-05T18:19:34Z</dcterms:created>
  <dcterms:modified xsi:type="dcterms:W3CDTF">2022-07-21T10:02:42Z</dcterms:modified>
</cp:coreProperties>
</file>