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pri\Downloads\"/>
    </mc:Choice>
  </mc:AlternateContent>
  <xr:revisionPtr revIDLastSave="0" documentId="13_ncr:1_{108F81FF-F7D7-41E4-A10A-50EAA82F943B}" xr6:coauthVersionLast="47" xr6:coauthVersionMax="47" xr10:uidLastSave="{00000000-0000-0000-0000-000000000000}"/>
  <bookViews>
    <workbookView xWindow="-120" yWindow="-16335" windowWidth="29040" windowHeight="15720" activeTab="2" xr2:uid="{B9DCB17C-302B-4D14-92AB-4707EE77551C}"/>
  </bookViews>
  <sheets>
    <sheet name="Sheet1" sheetId="1" r:id="rId1"/>
    <sheet name="Sheet2" sheetId="2" r:id="rId2"/>
    <sheet name="Sheet3" sheetId="3" r:id="rId3"/>
  </sheets>
  <definedNames>
    <definedName name="_xlchart.v1.0" hidden="1">Sheet3!$H$3:$H$42</definedName>
    <definedName name="_xlchart.v1.1" hidden="1">Sheet3!$I$2</definedName>
    <definedName name="_xlchart.v1.2" hidden="1">Sheet3!$I$3:$I$42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Sheet2!$V$50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3" i="3"/>
  <c r="A3" i="3"/>
  <c r="B19" i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4" i="2"/>
  <c r="S5" i="2"/>
  <c r="S6" i="2"/>
  <c r="S7" i="2"/>
  <c r="U7" i="2" s="1"/>
  <c r="S8" i="2"/>
  <c r="S9" i="2"/>
  <c r="S10" i="2"/>
  <c r="S11" i="2"/>
  <c r="S12" i="2"/>
  <c r="S13" i="2"/>
  <c r="S14" i="2"/>
  <c r="U14" i="2" s="1"/>
  <c r="S15" i="2"/>
  <c r="S16" i="2"/>
  <c r="S17" i="2"/>
  <c r="S18" i="2"/>
  <c r="U18" i="2" s="1"/>
  <c r="S19" i="2"/>
  <c r="S20" i="2"/>
  <c r="U20" i="2" s="1"/>
  <c r="S21" i="2"/>
  <c r="U21" i="2" s="1"/>
  <c r="S22" i="2"/>
  <c r="U22" i="2" s="1"/>
  <c r="S23" i="2"/>
  <c r="U23" i="2" s="1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4" i="2"/>
  <c r="Q16" i="2"/>
  <c r="Q5" i="2"/>
  <c r="Q6" i="2"/>
  <c r="Q8" i="2"/>
  <c r="Q9" i="2"/>
  <c r="Q10" i="2"/>
  <c r="Q11" i="2"/>
  <c r="Q12" i="2"/>
  <c r="Q13" i="2"/>
  <c r="Q15" i="2"/>
  <c r="Q17" i="2"/>
  <c r="Q19" i="2"/>
  <c r="Q4" i="2"/>
  <c r="B16" i="1"/>
  <c r="A2" i="3"/>
  <c r="A1" i="3"/>
  <c r="N5" i="2"/>
  <c r="N6" i="2"/>
  <c r="N8" i="2"/>
  <c r="L13" i="2"/>
  <c r="L14" i="2"/>
  <c r="N15" i="2"/>
  <c r="N16" i="2"/>
  <c r="N17" i="2"/>
  <c r="N18" i="2"/>
  <c r="N19" i="2"/>
  <c r="L20" i="2"/>
  <c r="L21" i="2"/>
  <c r="L22" i="2"/>
  <c r="L23" i="2"/>
  <c r="N3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50" i="2"/>
  <c r="U4" i="2" l="1"/>
  <c r="U19" i="2"/>
  <c r="U17" i="2"/>
  <c r="U16" i="2"/>
  <c r="U15" i="2"/>
  <c r="U13" i="2"/>
  <c r="U12" i="2"/>
  <c r="U11" i="2"/>
  <c r="U10" i="2"/>
  <c r="U9" i="2"/>
  <c r="U8" i="2"/>
  <c r="U6" i="2"/>
  <c r="U5" i="2"/>
</calcChain>
</file>

<file path=xl/sharedStrings.xml><?xml version="1.0" encoding="utf-8"?>
<sst xmlns="http://schemas.openxmlformats.org/spreadsheetml/2006/main" count="259" uniqueCount="222">
  <si>
    <t>Req type</t>
  </si>
  <si>
    <t xml:space="preserve">Value </t>
  </si>
  <si>
    <t>Unit</t>
  </si>
  <si>
    <t xml:space="preserve">Payload </t>
  </si>
  <si>
    <t>kg</t>
  </si>
  <si>
    <t>Range</t>
  </si>
  <si>
    <t>km</t>
  </si>
  <si>
    <t>Cruise Altitude (Max)</t>
  </si>
  <si>
    <t>ft</t>
  </si>
  <si>
    <t>Cruise speed</t>
  </si>
  <si>
    <t>m/s</t>
  </si>
  <si>
    <t>Take off distance</t>
  </si>
  <si>
    <t>Landing Distance</t>
  </si>
  <si>
    <t>Loiter time</t>
  </si>
  <si>
    <t xml:space="preserve">mins </t>
  </si>
  <si>
    <t>Additional Data</t>
  </si>
  <si>
    <t>Uniti</t>
  </si>
  <si>
    <t>Cl max</t>
  </si>
  <si>
    <t>nan</t>
  </si>
  <si>
    <t>Vs</t>
  </si>
  <si>
    <t>roe</t>
  </si>
  <si>
    <t>Sland</t>
  </si>
  <si>
    <t>c</t>
  </si>
  <si>
    <t>d</t>
  </si>
  <si>
    <t xml:space="preserve"> </t>
  </si>
  <si>
    <t>Reference Aircraft List</t>
  </si>
  <si>
    <t>Red highlight means info may be insufficient</t>
  </si>
  <si>
    <t>Aircraft Name</t>
  </si>
  <si>
    <t>Payload</t>
  </si>
  <si>
    <t>range</t>
  </si>
  <si>
    <t>cruise altitude</t>
  </si>
  <si>
    <t>cruise speed</t>
  </si>
  <si>
    <t>type of power plant</t>
  </si>
  <si>
    <t xml:space="preserve">service ceiling </t>
  </si>
  <si>
    <t>endurance</t>
  </si>
  <si>
    <t xml:space="preserve">Max Speed </t>
  </si>
  <si>
    <t>MTOW kg</t>
  </si>
  <si>
    <t>ETOW</t>
  </si>
  <si>
    <t>Take Off length m</t>
  </si>
  <si>
    <t>Stall Speed Landing m/s</t>
  </si>
  <si>
    <t>landing length</t>
  </si>
  <si>
    <t>Power Watts (ALL electric are at 80% efficiency)</t>
  </si>
  <si>
    <t>W/P</t>
  </si>
  <si>
    <t>W/S Clean</t>
  </si>
  <si>
    <t>W/S Takeoff</t>
  </si>
  <si>
    <t>W/S landing</t>
  </si>
  <si>
    <t>TOP</t>
  </si>
  <si>
    <t xml:space="preserve">Albatross Fixed Wing UAV </t>
  </si>
  <si>
    <t>4.4 kg</t>
  </si>
  <si>
    <t>100 km</t>
  </si>
  <si>
    <t>Lithium Ion electric</t>
  </si>
  <si>
    <t>4hr</t>
  </si>
  <si>
    <t>129km/hr</t>
  </si>
  <si>
    <t>5.5 kg</t>
  </si>
  <si>
    <t>URL</t>
  </si>
  <si>
    <t>SAT-i</t>
  </si>
  <si>
    <t>0.6 kg</t>
  </si>
  <si>
    <t>250 km</t>
  </si>
  <si>
    <t>600 m</t>
  </si>
  <si>
    <t>Electric 400W</t>
  </si>
  <si>
    <t>9000 m</t>
  </si>
  <si>
    <t>2 hours
4 hours optionally with use of solar energy at aoa no greater than 20 deg</t>
  </si>
  <si>
    <t>14 m/s</t>
  </si>
  <si>
    <t>5.2 kg</t>
  </si>
  <si>
    <t>https://www.unmannedsystemstechnology.com/company/applied-aeronautics/</t>
  </si>
  <si>
    <t>SITARIA E</t>
  </si>
  <si>
    <t>Payload with full battery:
4 kg
Max payload: 
10 kg</t>
  </si>
  <si>
    <t>240 km</t>
  </si>
  <si>
    <t>Engine type:
Electric (2.5 kW)
Battery capacity:
73.5 Ah (13.8 kg)</t>
  </si>
  <si>
    <t>6000 m</t>
  </si>
  <si>
    <t>Flight time with payload 4 kg: 
3 h
Flight time with payload 10 kg (minus 6 kg of batteries): 
1.5 h</t>
  </si>
  <si>
    <t>140 km/h</t>
  </si>
  <si>
    <t>29 kg</t>
  </si>
  <si>
    <t>https://www.uavos.com/products/fixed-wing-uavs/sat-i/</t>
  </si>
  <si>
    <t>BOREY 20</t>
  </si>
  <si>
    <t>4 kg</t>
  </si>
  <si>
    <t>400 km</t>
  </si>
  <si>
    <t>24V, LI-Ion Electric motor 2000W</t>
  </si>
  <si>
    <t>3,500 m</t>
  </si>
  <si>
    <t>5 hours</t>
  </si>
  <si>
    <t>30 m/sec</t>
  </si>
  <si>
    <t>16 kg</t>
  </si>
  <si>
    <t>https://www.uavos.com/products/fixed-wing-uavs/sitaria-e/</t>
  </si>
  <si>
    <t>Fixed-wing UAV AVEM</t>
  </si>
  <si>
    <t>0.5 kg</t>
  </si>
  <si>
    <t xml:space="preserve">195 km </t>
  </si>
  <si>
    <t>3500 m</t>
  </si>
  <si>
    <t xml:space="preserve">3 hours </t>
  </si>
  <si>
    <t>1.5 kg</t>
  </si>
  <si>
    <t>https://www.uavos.com/products/fixed-wing-uavs/borey-10/</t>
  </si>
  <si>
    <t>ScanEagle</t>
  </si>
  <si>
    <t>5 kg</t>
  </si>
  <si>
    <t>Engine: heavy fuel (JP-5 or JP-8)*</t>
  </si>
  <si>
    <t xml:space="preserve">5,950 m </t>
  </si>
  <si>
    <t>18 hours</t>
  </si>
  <si>
    <t>41.2 m/sec</t>
  </si>
  <si>
    <t>17 kg</t>
  </si>
  <si>
    <t>https://www.directindustry.com/prod/aeromapper/product-182310-1802491.html</t>
  </si>
  <si>
    <t>Strix 300</t>
  </si>
  <si>
    <t>electric motor</t>
  </si>
  <si>
    <t xml:space="preserve">5,000 m </t>
  </si>
  <si>
    <t>120 km/h</t>
  </si>
  <si>
    <t>4.5 kg</t>
  </si>
  <si>
    <t>https://www.insitu.com/wp-content/uploads/2020/12/ScanEagle_ProductCard_DU120320.pdf</t>
  </si>
  <si>
    <t>Fixed-wing UAV Bramor mSX</t>
  </si>
  <si>
    <t>integrated</t>
  </si>
  <si>
    <t>150 km</t>
  </si>
  <si>
    <t xml:space="preserve">Brushless Electric and Lithium ion battery </t>
  </si>
  <si>
    <t>3-3.5 hours</t>
  </si>
  <si>
    <t>22 m/s</t>
  </si>
  <si>
    <t>https://www.eos-technologie.com/strix-300/</t>
  </si>
  <si>
    <t>Trinity Pro</t>
  </si>
  <si>
    <t>eVTOL</t>
  </si>
  <si>
    <t>5,500 m</t>
  </si>
  <si>
    <t xml:space="preserve">1.5 hours </t>
  </si>
  <si>
    <t>https://pdf.directindustry.com/pdf/c-astral/unamanned-aircraft-systems/182250-945853.html#open2113345</t>
  </si>
  <si>
    <t>DT26X LIDAR</t>
  </si>
  <si>
    <t>2 kg</t>
  </si>
  <si>
    <t>85 km</t>
  </si>
  <si>
    <t>550m</t>
  </si>
  <si>
    <t xml:space="preserve">
Electric, brushless motors (lithium-polymer)</t>
  </si>
  <si>
    <t>4000 m</t>
  </si>
  <si>
    <t>2.5 hours</t>
  </si>
  <si>
    <t>110 km/h</t>
  </si>
  <si>
    <t>https://quantum-systems.com/trinity-pro/</t>
  </si>
  <si>
    <t>C-Astral Bramor sAR</t>
  </si>
  <si>
    <t>1 kg</t>
  </si>
  <si>
    <t>180 km</t>
  </si>
  <si>
    <t xml:space="preserve">brushless electric motor powered by lithium ion battery pack </t>
  </si>
  <si>
    <t>5000m</t>
  </si>
  <si>
    <t>83 km/h</t>
  </si>
  <si>
    <t>3.5 kg</t>
  </si>
  <si>
    <t>https://geo-matching.com/products/dt26x-lidar https://www.directindustry.com/prod/delair/product-108459-1800225.html</t>
  </si>
  <si>
    <t>VT-NAUT</t>
  </si>
  <si>
    <t>30 km</t>
  </si>
  <si>
    <t>400 ft</t>
  </si>
  <si>
    <t>85 km/h</t>
  </si>
  <si>
    <t>3.2 kg</t>
  </si>
  <si>
    <t>https://geo-matching.com/products/c-astral-bramor-sar</t>
  </si>
  <si>
    <t>Penguin-C</t>
  </si>
  <si>
    <t>23 kg</t>
  </si>
  <si>
    <t>100km</t>
  </si>
  <si>
    <t>28 cc EFI engine,100w onboard generator</t>
  </si>
  <si>
    <t>20 hours</t>
  </si>
  <si>
    <t>32 m/s</t>
  </si>
  <si>
    <t>18 kg</t>
  </si>
  <si>
    <t>https://aeromao.com/products/vtnaut/</t>
  </si>
  <si>
    <t>Outlaw G2</t>
  </si>
  <si>
    <t>40-60 lbs</t>
  </si>
  <si>
    <t>60 nm</t>
  </si>
  <si>
    <t>150 or 170 cc 2-cylinder, 2 stroke</t>
  </si>
  <si>
    <t>16000ft</t>
  </si>
  <si>
    <t>8+ hours</t>
  </si>
  <si>
    <t>126 KTAS</t>
  </si>
  <si>
    <t xml:space="preserve"> 74.84 kg</t>
  </si>
  <si>
    <t>https://www.aeroexpo.online/prod/uav-factory-ltd-europe/product-174156-793.html</t>
  </si>
  <si>
    <t>PD-1 UAS</t>
  </si>
  <si>
    <t>7 kg</t>
  </si>
  <si>
    <t>80 km</t>
  </si>
  <si>
    <t>4-stroke</t>
  </si>
  <si>
    <t>3000m</t>
  </si>
  <si>
    <t>10 hours</t>
  </si>
  <si>
    <t>38 kg</t>
  </si>
  <si>
    <t>https://www.griffonaerospace.com/products/outlaw-g2/</t>
  </si>
  <si>
    <t>Bramore C4 Eye</t>
  </si>
  <si>
    <t>210 km</t>
  </si>
  <si>
    <t>Brushless electric</t>
  </si>
  <si>
    <t>3.5 hours</t>
  </si>
  <si>
    <t>3.7 kg</t>
  </si>
  <si>
    <t>chrome-extension://efaidnbmnnnibpcajpcglclefindmkaj/https://www.unmannedsystemstechnology.com/wp-content/uploads/2016/06/PD-1-Fixed-Wing-UAV.pdf</t>
  </si>
  <si>
    <t>SR3</t>
  </si>
  <si>
    <t>3 kg</t>
  </si>
  <si>
    <t>1300 km</t>
  </si>
  <si>
    <t>160km/h</t>
  </si>
  <si>
    <t>27 kg</t>
  </si>
  <si>
    <t>https://www.c-astral.com/en/unmanned-systems/bramor-c4eye</t>
  </si>
  <si>
    <t>Talon GT Ready To Fly Drone</t>
  </si>
  <si>
    <t>0.3 kg</t>
  </si>
  <si>
    <t>15 km</t>
  </si>
  <si>
    <t>7,000 mAh 4S Li-Ion Custom Battery</t>
  </si>
  <si>
    <t>45 min</t>
  </si>
  <si>
    <t>100km/h</t>
  </si>
  <si>
    <t>0.8 kg</t>
  </si>
  <si>
    <t>https://www.satuav.com/glider-drone-runway-drone/long-endurance-fixed-wing-drone.html</t>
  </si>
  <si>
    <t>Skywalker Ready To Fly Drone v2.2</t>
  </si>
  <si>
    <t>20 km</t>
  </si>
  <si>
    <t>2x 5,000 mAh
Li-Ion</t>
  </si>
  <si>
    <t>59 min</t>
  </si>
  <si>
    <t>90 km/h</t>
  </si>
  <si>
    <t>https://uavsystemsinternational.com/products/talon-gt-drone</t>
  </si>
  <si>
    <t>Altavian</t>
  </si>
  <si>
    <t>3.7 lbs</t>
  </si>
  <si>
    <t>10,000 ft</t>
  </si>
  <si>
    <t>58 kts</t>
  </si>
  <si>
    <t>6.1461766 kg</t>
  </si>
  <si>
    <t>https://uavsystemsinternational.com/products/skywalker-drone</t>
  </si>
  <si>
    <t>Integrator</t>
  </si>
  <si>
    <t>92.6 km</t>
  </si>
  <si>
    <t>V3 engine, EFI using JP-5/JP-8 fuel</t>
  </si>
  <si>
    <t>5944m</t>
  </si>
  <si>
    <t>24 hours</t>
  </si>
  <si>
    <t>46 m/s</t>
  </si>
  <si>
    <t>56.84 kg</t>
  </si>
  <si>
    <t>https://www.ua-sp.com/altavian</t>
  </si>
  <si>
    <t>https://www.insitu.com/products/integrator</t>
  </si>
  <si>
    <t>Design Specs:</t>
  </si>
  <si>
    <t>400ft</t>
  </si>
  <si>
    <t>10m/s</t>
  </si>
  <si>
    <t>Electric engine powered by lipo</t>
  </si>
  <si>
    <t>3 hours</t>
  </si>
  <si>
    <t>15m/s</t>
  </si>
  <si>
    <t>Design Specs Magnified:</t>
  </si>
  <si>
    <t>sensor suite:</t>
  </si>
  <si>
    <t>6x6x10</t>
  </si>
  <si>
    <t>Payload Analysis:</t>
  </si>
  <si>
    <t>MTOW vs ETOW</t>
  </si>
  <si>
    <t>W/Sx stall landing and stall clean</t>
  </si>
  <si>
    <t>W/s to</t>
  </si>
  <si>
    <t>m</t>
  </si>
  <si>
    <r>
      <t>106.66e</t>
    </r>
    <r>
      <rPr>
        <vertAlign val="superscript"/>
        <sz val="11"/>
        <color theme="1"/>
        <rFont val="Calibri"/>
        <family val="2"/>
        <scheme val="minor"/>
      </rPr>
      <t>0.0319x</t>
    </r>
  </si>
  <si>
    <t>W/P to</t>
  </si>
  <si>
    <t>W/S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</si>
</sst>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arlow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0"/>
      <color theme="1"/>
      <name val="Calibri"/>
      <family val="2"/>
      <scheme val="minor"/>
    </font>
    <font>
      <sz val="18"/>
      <color rgb="FF1F1F1F"/>
      <name val="Arial"/>
      <family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1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4" fillId="2" borderId="1" xfId="2" applyFont="1" applyFill="1" applyBorder="1" applyAlignment="1">
      <alignment horizontal="left" wrapText="1"/>
    </xf>
    <xf numFmtId="0" fontId="4" fillId="2" borderId="2" xfId="2" applyFont="1" applyFill="1" applyBorder="1" applyAlignment="1">
      <alignment horizontal="left"/>
    </xf>
    <xf numFmtId="0" fontId="5" fillId="2" borderId="3" xfId="0" applyFont="1" applyFill="1" applyBorder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4" fillId="2" borderId="0" xfId="2" applyFont="1" applyFill="1" applyAlignment="1">
      <alignment horizontal="left"/>
    </xf>
    <xf numFmtId="0" fontId="8" fillId="0" borderId="0" xfId="0" applyFont="1"/>
  </cellXfs>
  <cellStyles count="3">
    <cellStyle name="Hyperlink" xfId="1" builtinId="8"/>
    <cellStyle name="Normal" xfId="0" builtinId="0"/>
    <cellStyle name="Normal 2" xfId="2" xr:uid="{C98E6F8B-5B96-47B5-ACD8-4818478E98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Aircraft empty weight as a function of take-off weight for UAVs [N]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824125109361331"/>
                  <c:y val="-2.3981481481481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Sheet2!$D$50:$D$68</c:f>
              <c:numCache>
                <c:formatCode>General</c:formatCode>
                <c:ptCount val="19"/>
                <c:pt idx="0">
                  <c:v>98.100000000000009</c:v>
                </c:pt>
                <c:pt idx="1">
                  <c:v>56.898000000000003</c:v>
                </c:pt>
                <c:pt idx="2">
                  <c:v>382.59000000000003</c:v>
                </c:pt>
                <c:pt idx="3">
                  <c:v>196.20000000000002</c:v>
                </c:pt>
                <c:pt idx="4">
                  <c:v>19.62</c:v>
                </c:pt>
                <c:pt idx="5">
                  <c:v>215.82000000000002</c:v>
                </c:pt>
                <c:pt idx="6">
                  <c:v>49.050000000000004</c:v>
                </c:pt>
                <c:pt idx="7">
                  <c:v>176.58</c:v>
                </c:pt>
                <c:pt idx="8">
                  <c:v>44.145000000000003</c:v>
                </c:pt>
                <c:pt idx="9">
                  <c:v>36.297000000000004</c:v>
                </c:pt>
                <c:pt idx="10">
                  <c:v>402.21000000000004</c:v>
                </c:pt>
                <c:pt idx="11">
                  <c:v>1010.9989800000001</c:v>
                </c:pt>
                <c:pt idx="12">
                  <c:v>441.45000000000005</c:v>
                </c:pt>
                <c:pt idx="13">
                  <c:v>46.107000000000006</c:v>
                </c:pt>
                <c:pt idx="14">
                  <c:v>294.3</c:v>
                </c:pt>
                <c:pt idx="15">
                  <c:v>10.791000000000002</c:v>
                </c:pt>
                <c:pt idx="16">
                  <c:v>24.525000000000002</c:v>
                </c:pt>
                <c:pt idx="17">
                  <c:v>76.714200000000005</c:v>
                </c:pt>
                <c:pt idx="18">
                  <c:v>734.18040000000008</c:v>
                </c:pt>
              </c:numCache>
            </c:numRef>
          </c:xVal>
          <c:yVal>
            <c:numRef>
              <c:f>Sheet2!$E$50:$E$68</c:f>
              <c:numCache>
                <c:formatCode>General</c:formatCode>
                <c:ptCount val="19"/>
                <c:pt idx="0">
                  <c:v>53.955000000000005</c:v>
                </c:pt>
                <c:pt idx="1">
                  <c:v>51.012000000000008</c:v>
                </c:pt>
                <c:pt idx="2">
                  <c:v>284.49</c:v>
                </c:pt>
                <c:pt idx="3">
                  <c:v>156.96</c:v>
                </c:pt>
                <c:pt idx="4">
                  <c:v>14.715</c:v>
                </c:pt>
                <c:pt idx="5">
                  <c:v>166.77</c:v>
                </c:pt>
                <c:pt idx="6">
                  <c:v>44.145000000000003</c:v>
                </c:pt>
                <c:pt idx="7">
                  <c:v>156.96</c:v>
                </c:pt>
                <c:pt idx="8">
                  <c:v>34.335000000000001</c:v>
                </c:pt>
                <c:pt idx="9">
                  <c:v>31.392000000000003</c:v>
                </c:pt>
                <c:pt idx="10">
                  <c:v>176.58</c:v>
                </c:pt>
                <c:pt idx="11">
                  <c:v>734.18040000000008</c:v>
                </c:pt>
                <c:pt idx="12">
                  <c:v>372.78000000000003</c:v>
                </c:pt>
                <c:pt idx="13">
                  <c:v>36.297000000000004</c:v>
                </c:pt>
                <c:pt idx="14">
                  <c:v>264.87</c:v>
                </c:pt>
                <c:pt idx="15">
                  <c:v>7.8480000000000008</c:v>
                </c:pt>
                <c:pt idx="16">
                  <c:v>19.62</c:v>
                </c:pt>
                <c:pt idx="17">
                  <c:v>60.293992446000004</c:v>
                </c:pt>
                <c:pt idx="18">
                  <c:v>557.60040000000004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7-4B01-8C5A-FDEB1B2C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4223"/>
        <c:axId val="112121343"/>
      </c:scatterChart>
      <c:valAx>
        <c:axId val="11212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takeoff</a:t>
                </a:r>
                <a:r>
                  <a:rPr lang="en-US" baseline="0"/>
                  <a:t> weight [N}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1343"/>
        <c:crosses val="autoZero"/>
        <c:crossBetween val="midCat"/>
      </c:valAx>
      <c:valAx>
        <c:axId val="1121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Empty</a:t>
                </a:r>
                <a:r>
                  <a:rPr lang="en-US" baseline="0"/>
                  <a:t> takeoff weight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0436132983377081E-2"/>
                  <c:y val="-0.60058544765237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Sheet2!$Q$36:$Q$46</c:f>
              <c:numCache>
                <c:formatCode>General</c:formatCode>
                <c:ptCount val="11"/>
                <c:pt idx="0">
                  <c:v>11.756706346409734</c:v>
                </c:pt>
                <c:pt idx="1">
                  <c:v>239.5304186774589</c:v>
                </c:pt>
                <c:pt idx="2">
                  <c:v>165.32868299638687</c:v>
                </c:pt>
                <c:pt idx="3">
                  <c:v>311.81724407265216</c:v>
                </c:pt>
                <c:pt idx="4">
                  <c:v>81.871271827092002</c:v>
                </c:pt>
                <c:pt idx="5">
                  <c:v>124.18021078395279</c:v>
                </c:pt>
                <c:pt idx="6">
                  <c:v>661.3147319855475</c:v>
                </c:pt>
                <c:pt idx="7">
                  <c:v>141.74292483057741</c:v>
                </c:pt>
                <c:pt idx="8">
                  <c:v>47.026825385638936</c:v>
                </c:pt>
                <c:pt idx="9">
                  <c:v>239.5304186774589</c:v>
                </c:pt>
                <c:pt idx="10">
                  <c:v>43.679176732913419</c:v>
                </c:pt>
              </c:numCache>
            </c:numRef>
          </c:xVal>
          <c:yVal>
            <c:numRef>
              <c:f>Sheet2!$R$36:$R$46</c:f>
              <c:numCache>
                <c:formatCode>General</c:formatCode>
                <c:ptCount val="11"/>
                <c:pt idx="0">
                  <c:v>0.17780625</c:v>
                </c:pt>
                <c:pt idx="1">
                  <c:v>0.19129500000000002</c:v>
                </c:pt>
                <c:pt idx="2">
                  <c:v>9.0833333333333335E-2</c:v>
                </c:pt>
                <c:pt idx="3">
                  <c:v>2.4087053571428575E-2</c:v>
                </c:pt>
                <c:pt idx="4">
                  <c:v>0.20437500000000003</c:v>
                </c:pt>
                <c:pt idx="5">
                  <c:v>2.1534146341463418</c:v>
                </c:pt>
                <c:pt idx="6">
                  <c:v>2.2072500000000002E-2</c:v>
                </c:pt>
                <c:pt idx="7">
                  <c:v>2.4079125079024506E-2</c:v>
                </c:pt>
                <c:pt idx="8">
                  <c:v>0.10029751785714286</c:v>
                </c:pt>
                <c:pt idx="9">
                  <c:v>0.15010200612036723</c:v>
                </c:pt>
                <c:pt idx="10">
                  <c:v>1.0524341428517532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F-49F5-833D-3666193AA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611647"/>
        <c:axId val="1239613567"/>
      </c:scatterChart>
      <c:valAx>
        <c:axId val="123961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13567"/>
        <c:crosses val="autoZero"/>
        <c:crossBetween val="midCat"/>
      </c:valAx>
      <c:valAx>
        <c:axId val="12396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1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Sheet2!$W$50</c:f>
              <c:strCache>
                <c:ptCount val="1"/>
                <c:pt idx="0">
                  <c:v>landing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Sheet2!$V$51:$V$58</c:f>
              <c:numCache>
                <c:formatCode>General</c:formatCode>
                <c:ptCount val="8"/>
                <c:pt idx="0">
                  <c:v>1.1613421487812867</c:v>
                </c:pt>
                <c:pt idx="1">
                  <c:v>25.456095244946951</c:v>
                </c:pt>
                <c:pt idx="2">
                  <c:v>8.3429752067621159</c:v>
                </c:pt>
                <c:pt idx="3">
                  <c:v>4.1726437013739961</c:v>
                </c:pt>
                <c:pt idx="4">
                  <c:v>9.2958006553677386</c:v>
                </c:pt>
                <c:pt idx="5">
                  <c:v>1.6611949043369039</c:v>
                </c:pt>
                <c:pt idx="6">
                  <c:v>36.849014522506721</c:v>
                </c:pt>
                <c:pt idx="7">
                  <c:v>11.819942983576713</c:v>
                </c:pt>
              </c:numCache>
            </c:numRef>
          </c:xVal>
          <c:yVal>
            <c:numRef>
              <c:f>Sheet2!$W$51:$W$58</c:f>
              <c:numCache>
                <c:formatCode>General</c:formatCode>
                <c:ptCount val="8"/>
                <c:pt idx="0">
                  <c:v>200</c:v>
                </c:pt>
                <c:pt idx="1">
                  <c:v>192.81895928750001</c:v>
                </c:pt>
                <c:pt idx="2">
                  <c:v>133.08750000000001</c:v>
                </c:pt>
                <c:pt idx="3">
                  <c:v>251.00894000000005</c:v>
                </c:pt>
                <c:pt idx="4">
                  <c:v>50</c:v>
                </c:pt>
                <c:pt idx="5">
                  <c:v>99.96350000000001</c:v>
                </c:pt>
                <c:pt idx="6">
                  <c:v>532.35</c:v>
                </c:pt>
                <c:pt idx="7">
                  <c:v>114.10126280871501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0-4F42-A419-C0F0F387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7727"/>
        <c:axId val="1652210975"/>
      </c:scatterChart>
      <c:valAx>
        <c:axId val="164372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10975"/>
        <c:crosses val="autoZero"/>
        <c:crossBetween val="midCat"/>
      </c:valAx>
      <c:valAx>
        <c:axId val="16522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landing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2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Sheet3!$I$2</c:f>
              <c:strCache>
                <c:ptCount val="1"/>
                <c:pt idx="0">
                  <c:v>W/P 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Sheet3!$H$3:$H$42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Sheet3!$I$3:$I$42</c:f>
              <c:numCache>
                <c:formatCode>General</c:formatCode>
                <c:ptCount val="40"/>
                <c:pt idx="0">
                  <c:v>2.3569951311350374</c:v>
                </c:pt>
                <c:pt idx="1">
                  <c:v>1.1784975655675187</c:v>
                </c:pt>
                <c:pt idx="2">
                  <c:v>0.78566504371167922</c:v>
                </c:pt>
                <c:pt idx="3">
                  <c:v>0.58924878278375936</c:v>
                </c:pt>
                <c:pt idx="4">
                  <c:v>0.47139902622700752</c:v>
                </c:pt>
                <c:pt idx="5">
                  <c:v>0.39283252185583961</c:v>
                </c:pt>
                <c:pt idx="6">
                  <c:v>0.33671359016214819</c:v>
                </c:pt>
                <c:pt idx="7">
                  <c:v>0.29462439139187968</c:v>
                </c:pt>
                <c:pt idx="8">
                  <c:v>0.26188834790389304</c:v>
                </c:pt>
                <c:pt idx="9">
                  <c:v>0.23569951311350376</c:v>
                </c:pt>
                <c:pt idx="10">
                  <c:v>0.21427228464863976</c:v>
                </c:pt>
                <c:pt idx="11">
                  <c:v>0.19641626092791981</c:v>
                </c:pt>
                <c:pt idx="12">
                  <c:v>0.18130731777961828</c:v>
                </c:pt>
                <c:pt idx="13">
                  <c:v>0.1683567950810741</c:v>
                </c:pt>
                <c:pt idx="14">
                  <c:v>0.15713300874233585</c:v>
                </c:pt>
                <c:pt idx="15">
                  <c:v>0.14731219569593984</c:v>
                </c:pt>
                <c:pt idx="16">
                  <c:v>0.13864677241970808</c:v>
                </c:pt>
                <c:pt idx="17">
                  <c:v>0.13094417395194652</c:v>
                </c:pt>
                <c:pt idx="18">
                  <c:v>0.1240523753228967</c:v>
                </c:pt>
                <c:pt idx="19">
                  <c:v>0.11784975655675188</c:v>
                </c:pt>
                <c:pt idx="20">
                  <c:v>0.11223786338738274</c:v>
                </c:pt>
                <c:pt idx="21">
                  <c:v>0.10713614232431988</c:v>
                </c:pt>
                <c:pt idx="22">
                  <c:v>0.10247804917978423</c:v>
                </c:pt>
                <c:pt idx="23">
                  <c:v>9.8208130463959903E-2</c:v>
                </c:pt>
                <c:pt idx="24">
                  <c:v>9.4279805245401499E-2</c:v>
                </c:pt>
                <c:pt idx="25">
                  <c:v>9.0653658889809141E-2</c:v>
                </c:pt>
                <c:pt idx="26">
                  <c:v>8.7296115967964355E-2</c:v>
                </c:pt>
                <c:pt idx="27">
                  <c:v>8.4178397540537048E-2</c:v>
                </c:pt>
                <c:pt idx="28">
                  <c:v>8.1275694177070271E-2</c:v>
                </c:pt>
                <c:pt idx="29">
                  <c:v>7.8566504371167925E-2</c:v>
                </c:pt>
                <c:pt idx="30">
                  <c:v>7.6032101004356048E-2</c:v>
                </c:pt>
                <c:pt idx="31">
                  <c:v>7.365609784796992E-2</c:v>
                </c:pt>
                <c:pt idx="32">
                  <c:v>7.1424094882879929E-2</c:v>
                </c:pt>
                <c:pt idx="33">
                  <c:v>6.9323386209854038E-2</c:v>
                </c:pt>
                <c:pt idx="34">
                  <c:v>6.7342718032429638E-2</c:v>
                </c:pt>
                <c:pt idx="35">
                  <c:v>6.5472086975973259E-2</c:v>
                </c:pt>
                <c:pt idx="36">
                  <c:v>6.3702571111757769E-2</c:v>
                </c:pt>
                <c:pt idx="37">
                  <c:v>6.2026187661448351E-2</c:v>
                </c:pt>
                <c:pt idx="38">
                  <c:v>6.0435772593206087E-2</c:v>
                </c:pt>
                <c:pt idx="39">
                  <c:v>5.892487827837594E-2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D-4018-8532-E70051258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4975"/>
        <c:axId val="55023055"/>
      </c:scatterChart>
      <c:valAx>
        <c:axId val="5502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055"/>
        <c:crosses val="autoZero"/>
        <c:crossBetween val="midCat"/>
      </c:valAx>
      <c:valAx>
        <c:axId val="550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50</xdr:row>
      <xdr:rowOff>26894</xdr:rowOff>
    </xdr:from>
    <xdr:to>
      <xdr:col>11</xdr:col>
      <xdr:colOff>40341</xdr:colOff>
      <xdr:row>65</xdr:row>
      <xdr:rowOff>80682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4E309-B6D9-AD1E-C221-6EECC998C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192742</xdr:colOff>
      <xdr:row>31</xdr:row>
      <xdr:rowOff>71717</xdr:rowOff>
    </xdr:from>
    <xdr:to>
      <xdr:col>14</xdr:col>
      <xdr:colOff>4764742</xdr:colOff>
      <xdr:row>46</xdr:row>
      <xdr:rowOff>107576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84C33-016F-FC55-F98D-57A78519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301248</xdr:colOff>
      <xdr:row>49</xdr:row>
      <xdr:rowOff>63855</xdr:rowOff>
    </xdr:from>
    <xdr:to>
      <xdr:col>30</xdr:col>
      <xdr:colOff>386260</xdr:colOff>
      <xdr:row>64</xdr:row>
      <xdr:rowOff>141741</xdr:rowOff>
    </xdr:to>
    <xdr:graphicFrame macro="">
      <xdr:nvGraphicFramePr>
        <xdr:cNvPr id="4" name="Chart 3" descr="Chart type: Scatter. Field: TOP and Field: landing length appear highly correlated.&#10;&#10;Description automatically generated">
          <a:extLst>
            <a:ext uri="{FF2B5EF4-FFF2-40B4-BE49-F238E27FC236}">
              <a16:creationId xmlns:a16="http://schemas.microsoft.com/office/drawing/2014/main" id="{7B88BF6F-C1FA-367D-8825-802F4E6FC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45583</xdr:colOff>
      <xdr:row>7</xdr:row>
      <xdr:rowOff>149679</xdr:rowOff>
    </xdr:from>
    <xdr:to>
      <xdr:col>22</xdr:col>
      <xdr:colOff>113619</xdr:colOff>
      <xdr:row>31</xdr:row>
      <xdr:rowOff>56469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26B89-092E-7EC3-4B43-CDED65FE7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18F96A-26B1-44CC-B14C-F9F2C07F1CCD}" name="Table1" displayName="Table1" ref="W50:W59" totalsRowShown="0">
  <autoFilter ref="W50:W59" xr:uid="{6018F96A-26B1-44CC-B14C-F9F2C07F1CCD}"/>
  <tableColumns count="1">
    <tableColumn id="1" xr3:uid="{5C20ECE2-94C5-4ECD-8D1B-1853934BAE37}" name="landing lengt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df.directindustry.com/pdf/c-astral/unamanned-aircraft-systems/182250-945853.html" TargetMode="External"/><Relationship Id="rId13" Type="http://schemas.openxmlformats.org/officeDocument/2006/relationships/hyperlink" Target="https://www.aeroexpo.online/prod/uav-factory-ltd-europe/product-174156-793.html" TargetMode="External"/><Relationship Id="rId18" Type="http://schemas.openxmlformats.org/officeDocument/2006/relationships/hyperlink" Target="https://uavsystemsinternational.com/products/skywalker-drone" TargetMode="External"/><Relationship Id="rId3" Type="http://schemas.openxmlformats.org/officeDocument/2006/relationships/hyperlink" Target="https://www.uavos.com/products/fixed-wing-uavs/sitaria-e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eos-technologie.com/strix-300/" TargetMode="External"/><Relationship Id="rId12" Type="http://schemas.openxmlformats.org/officeDocument/2006/relationships/hyperlink" Target="https://aeromao.com/products/vtnaut/" TargetMode="External"/><Relationship Id="rId17" Type="http://schemas.openxmlformats.org/officeDocument/2006/relationships/hyperlink" Target="https://uavsystemsinternational.com/products/talon-gt-drone" TargetMode="External"/><Relationship Id="rId2" Type="http://schemas.openxmlformats.org/officeDocument/2006/relationships/hyperlink" Target="https://www.uavos.com/products/fixed-wing-uavs/sat-i/" TargetMode="External"/><Relationship Id="rId16" Type="http://schemas.openxmlformats.org/officeDocument/2006/relationships/hyperlink" Target="https://www.satuav.com/glider-drone-runway-drone/long-endurance-fixed-wing-drone.html" TargetMode="External"/><Relationship Id="rId20" Type="http://schemas.openxmlformats.org/officeDocument/2006/relationships/hyperlink" Target="https://www.insitu.com/products/integrator" TargetMode="External"/><Relationship Id="rId1" Type="http://schemas.openxmlformats.org/officeDocument/2006/relationships/hyperlink" Target="https://www.unmannedsystemstechnology.com/company/applied-aeronautics/" TargetMode="External"/><Relationship Id="rId6" Type="http://schemas.openxmlformats.org/officeDocument/2006/relationships/hyperlink" Target="https://www.directindustry.com/prod/aeromapper/product-182310-1802491.html" TargetMode="External"/><Relationship Id="rId11" Type="http://schemas.openxmlformats.org/officeDocument/2006/relationships/hyperlink" Target="https://geo-matching.com/products/c-astral-bramor-sar" TargetMode="External"/><Relationship Id="rId5" Type="http://schemas.openxmlformats.org/officeDocument/2006/relationships/hyperlink" Target="https://www.insitu.com/wp-content/uploads/2020/12/ScanEagle_ProductCard_DU120320.pdf" TargetMode="External"/><Relationship Id="rId15" Type="http://schemas.openxmlformats.org/officeDocument/2006/relationships/hyperlink" Target="https://www.c-astral.com/en/unmanned-systems/bramor-c4eye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geo-matching.com/products/dt26x-lidar" TargetMode="External"/><Relationship Id="rId19" Type="http://schemas.openxmlformats.org/officeDocument/2006/relationships/hyperlink" Target="https://www.ua-sp.com/altavian" TargetMode="External"/><Relationship Id="rId4" Type="http://schemas.openxmlformats.org/officeDocument/2006/relationships/hyperlink" Target="https://www.uavos.com/products/fixed-wing-uavs/borey-10/" TargetMode="External"/><Relationship Id="rId9" Type="http://schemas.openxmlformats.org/officeDocument/2006/relationships/hyperlink" Target="https://quantum-systems.com/trinity-pro/" TargetMode="External"/><Relationship Id="rId14" Type="http://schemas.openxmlformats.org/officeDocument/2006/relationships/hyperlink" Target="https://www.griffonaerospace.com/products/outlaw-g2/" TargetMode="External"/><Relationship Id="rId2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0063-CE08-47CE-8F03-2A8B7FB2E8FC}">
  <dimension ref="A1:G20"/>
  <sheetViews>
    <sheetView workbookViewId="0">
      <selection activeCell="B19" sqref="B19"/>
    </sheetView>
  </sheetViews>
  <sheetFormatPr defaultRowHeight="14.25" x14ac:dyDescent="0.45"/>
  <cols>
    <col min="1" max="1" width="18.86328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>
        <v>1</v>
      </c>
      <c r="C2" t="s">
        <v>4</v>
      </c>
    </row>
    <row r="3" spans="1:3" x14ac:dyDescent="0.45">
      <c r="A3" t="s">
        <v>5</v>
      </c>
      <c r="B3">
        <v>20</v>
      </c>
      <c r="C3" t="s">
        <v>6</v>
      </c>
    </row>
    <row r="4" spans="1:3" x14ac:dyDescent="0.45">
      <c r="A4" t="s">
        <v>7</v>
      </c>
      <c r="B4">
        <v>400</v>
      </c>
      <c r="C4" t="s">
        <v>8</v>
      </c>
    </row>
    <row r="5" spans="1:3" x14ac:dyDescent="0.45">
      <c r="A5" t="s">
        <v>9</v>
      </c>
      <c r="B5">
        <v>10</v>
      </c>
      <c r="C5" t="s">
        <v>10</v>
      </c>
    </row>
    <row r="6" spans="1:3" x14ac:dyDescent="0.45">
      <c r="A6" t="s">
        <v>11</v>
      </c>
    </row>
    <row r="7" spans="1:3" x14ac:dyDescent="0.45">
      <c r="A7" t="s">
        <v>12</v>
      </c>
      <c r="B7">
        <v>150</v>
      </c>
      <c r="C7" t="s">
        <v>218</v>
      </c>
    </row>
    <row r="8" spans="1:3" x14ac:dyDescent="0.45">
      <c r="A8" t="s">
        <v>13</v>
      </c>
      <c r="B8">
        <v>30</v>
      </c>
      <c r="C8" t="s">
        <v>14</v>
      </c>
    </row>
    <row r="12" spans="1:3" x14ac:dyDescent="0.45">
      <c r="A12" t="s">
        <v>15</v>
      </c>
      <c r="B12" t="s">
        <v>1</v>
      </c>
      <c r="C12" t="s">
        <v>16</v>
      </c>
    </row>
    <row r="13" spans="1:3" x14ac:dyDescent="0.45">
      <c r="A13" t="s">
        <v>17</v>
      </c>
      <c r="B13">
        <v>1.8</v>
      </c>
      <c r="C13" t="s">
        <v>18</v>
      </c>
    </row>
    <row r="14" spans="1:3" x14ac:dyDescent="0.45">
      <c r="A14" t="s">
        <v>19</v>
      </c>
      <c r="B14">
        <v>18</v>
      </c>
    </row>
    <row r="15" spans="1:3" x14ac:dyDescent="0.45">
      <c r="A15" t="s">
        <v>20</v>
      </c>
      <c r="B15">
        <v>1.2250000000000001</v>
      </c>
    </row>
    <row r="16" spans="1:3" x14ac:dyDescent="0.45">
      <c r="A16" t="s">
        <v>21</v>
      </c>
      <c r="B16">
        <f>0.5915*B14^2</f>
        <v>191.64600000000002</v>
      </c>
    </row>
    <row r="17" spans="1:7" x14ac:dyDescent="0.45">
      <c r="A17" t="s">
        <v>22</v>
      </c>
      <c r="B17">
        <v>1.2362</v>
      </c>
    </row>
    <row r="18" spans="1:7" x14ac:dyDescent="0.45">
      <c r="A18" t="s">
        <v>23</v>
      </c>
      <c r="B18" t="s">
        <v>24</v>
      </c>
    </row>
    <row r="19" spans="1:7" x14ac:dyDescent="0.45">
      <c r="A19" t="s">
        <v>46</v>
      </c>
      <c r="B19">
        <f>LOG((B7/106.66),2.71828)/0.0319</f>
        <v>10.689320322607879</v>
      </c>
    </row>
    <row r="20" spans="1:7" ht="15.75" x14ac:dyDescent="0.45">
      <c r="G20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8C8A-662B-400E-8D06-D9245C758624}">
  <dimension ref="A1:X70"/>
  <sheetViews>
    <sheetView topLeftCell="D1" zoomScale="85" zoomScaleNormal="85" workbookViewId="0">
      <selection activeCell="Q13" sqref="Q13"/>
    </sheetView>
  </sheetViews>
  <sheetFormatPr defaultRowHeight="15" customHeight="1" x14ac:dyDescent="0.45"/>
  <cols>
    <col min="1" max="1" width="37.1328125" customWidth="1"/>
    <col min="2" max="2" width="12" customWidth="1"/>
    <col min="3" max="3" width="13" customWidth="1"/>
    <col min="4" max="4" width="13.265625" customWidth="1"/>
    <col min="5" max="5" width="15.265625" customWidth="1"/>
    <col min="6" max="6" width="17.3984375" customWidth="1"/>
    <col min="7" max="7" width="14.86328125" customWidth="1"/>
    <col min="8" max="8" width="12.86328125" customWidth="1"/>
    <col min="9" max="9" width="15.265625" customWidth="1"/>
    <col min="15" max="15" width="72.59765625" customWidth="1"/>
    <col min="23" max="23" width="16" bestFit="1" customWidth="1"/>
  </cols>
  <sheetData>
    <row r="1" spans="1:24" ht="14.25" x14ac:dyDescent="0.45">
      <c r="A1" t="s">
        <v>25</v>
      </c>
      <c r="C1" t="s">
        <v>26</v>
      </c>
    </row>
    <row r="2" spans="1:24" ht="51" customHeight="1" x14ac:dyDescent="0.45">
      <c r="A2" s="5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4" t="s">
        <v>34</v>
      </c>
      <c r="I2" s="4" t="s">
        <v>35</v>
      </c>
      <c r="J2" s="4" t="s">
        <v>36</v>
      </c>
      <c r="K2" s="9" t="s">
        <v>37</v>
      </c>
      <c r="L2" s="9" t="s">
        <v>38</v>
      </c>
      <c r="M2" s="9" t="s">
        <v>39</v>
      </c>
      <c r="N2" t="s">
        <v>40</v>
      </c>
      <c r="O2" s="9" t="s">
        <v>41</v>
      </c>
      <c r="P2" s="9"/>
      <c r="Q2" s="9" t="s">
        <v>42</v>
      </c>
      <c r="R2" s="9" t="s">
        <v>43</v>
      </c>
      <c r="S2" s="9" t="s">
        <v>44</v>
      </c>
      <c r="T2" s="9" t="s">
        <v>45</v>
      </c>
      <c r="U2" t="s">
        <v>46</v>
      </c>
    </row>
    <row r="3" spans="1:24" ht="14.25" x14ac:dyDescent="0.45">
      <c r="A3" t="s">
        <v>47</v>
      </c>
      <c r="B3" t="s">
        <v>48</v>
      </c>
      <c r="C3" t="s">
        <v>49</v>
      </c>
      <c r="E3">
        <v>18.8</v>
      </c>
      <c r="F3" t="s">
        <v>50</v>
      </c>
      <c r="H3" t="s">
        <v>51</v>
      </c>
      <c r="I3" t="s">
        <v>52</v>
      </c>
      <c r="J3">
        <v>10</v>
      </c>
      <c r="K3" t="s">
        <v>53</v>
      </c>
      <c r="M3">
        <v>10</v>
      </c>
      <c r="N3">
        <f>0.5915*M3^2</f>
        <v>59.150000000000006</v>
      </c>
      <c r="P3" s="1"/>
      <c r="X3" t="s">
        <v>54</v>
      </c>
    </row>
    <row r="4" spans="1:24" ht="114" customHeight="1" x14ac:dyDescent="0.6">
      <c r="A4" t="s">
        <v>55</v>
      </c>
      <c r="B4" t="s">
        <v>56</v>
      </c>
      <c r="C4" t="s">
        <v>57</v>
      </c>
      <c r="D4" s="6" t="s">
        <v>58</v>
      </c>
      <c r="E4" s="7">
        <v>8</v>
      </c>
      <c r="F4" s="8" t="s">
        <v>59</v>
      </c>
      <c r="G4" t="s">
        <v>60</v>
      </c>
      <c r="H4" s="7" t="s">
        <v>61</v>
      </c>
      <c r="I4" s="7" t="s">
        <v>62</v>
      </c>
      <c r="J4" s="7">
        <v>5.8</v>
      </c>
      <c r="K4" s="7" t="s">
        <v>63</v>
      </c>
      <c r="M4" s="7">
        <v>4</v>
      </c>
      <c r="N4">
        <v>200</v>
      </c>
      <c r="O4">
        <v>320</v>
      </c>
      <c r="P4" s="1"/>
      <c r="Q4">
        <f>(J4*9.81)/O4</f>
        <v>0.17780625</v>
      </c>
      <c r="R4">
        <f>0.5*1.225*1.2*(M4)^2</f>
        <v>11.76</v>
      </c>
      <c r="S4">
        <f>0.5*1.225*2*(M4*0.77448819)^2</f>
        <v>11.756706346409734</v>
      </c>
      <c r="T4">
        <f>0.5*1.225*2.1*(M4*0.75582677)^2</f>
        <v>11.756821106596865</v>
      </c>
      <c r="U4">
        <f>S4*Q4*(1/Sheet1!$B$13)</f>
        <v>1.1613421487812867</v>
      </c>
      <c r="X4" s="1" t="s">
        <v>64</v>
      </c>
    </row>
    <row r="5" spans="1:24" ht="157.9" customHeight="1" x14ac:dyDescent="0.45">
      <c r="A5" s="2" t="s">
        <v>65</v>
      </c>
      <c r="B5" s="7" t="s">
        <v>66</v>
      </c>
      <c r="C5" t="s">
        <v>67</v>
      </c>
      <c r="E5">
        <v>22.2</v>
      </c>
      <c r="F5" s="7" t="s">
        <v>68</v>
      </c>
      <c r="G5" t="s">
        <v>69</v>
      </c>
      <c r="H5" s="7" t="s">
        <v>70</v>
      </c>
      <c r="I5" t="s">
        <v>71</v>
      </c>
      <c r="J5">
        <v>39</v>
      </c>
      <c r="K5" t="s">
        <v>72</v>
      </c>
      <c r="M5">
        <v>18.055</v>
      </c>
      <c r="N5">
        <f>0.5915*M5^2</f>
        <v>192.81895928750001</v>
      </c>
      <c r="O5">
        <v>2000</v>
      </c>
      <c r="P5" s="1"/>
      <c r="Q5">
        <f>(J5*9.81)/O5</f>
        <v>0.19129500000000002</v>
      </c>
      <c r="R5">
        <f t="shared" ref="R5:R23" si="0">0.5*1.225*1.2*(M5)^2</f>
        <v>239.59752337499998</v>
      </c>
      <c r="S5">
        <f t="shared" ref="S5:S23" si="1">0.5*1.225*2*(M5*0.77448819)^2</f>
        <v>239.5304186774589</v>
      </c>
      <c r="T5">
        <f t="shared" ref="T5:T23" si="2">0.5*1.225*2.1*(M5*0.75582677)^2</f>
        <v>239.53275679451835</v>
      </c>
      <c r="U5">
        <f>S5*Q5*(1/Sheet1!$B$13)</f>
        <v>25.456095244946951</v>
      </c>
      <c r="X5" s="1" t="s">
        <v>73</v>
      </c>
    </row>
    <row r="6" spans="1:24" ht="34.9" customHeight="1" x14ac:dyDescent="0.45">
      <c r="A6" t="s">
        <v>74</v>
      </c>
      <c r="B6" t="s">
        <v>75</v>
      </c>
      <c r="C6" t="s">
        <v>76</v>
      </c>
      <c r="E6">
        <v>20</v>
      </c>
      <c r="F6" t="s">
        <v>77</v>
      </c>
      <c r="G6" t="s">
        <v>78</v>
      </c>
      <c r="H6" t="s">
        <v>79</v>
      </c>
      <c r="I6" t="s">
        <v>80</v>
      </c>
      <c r="J6">
        <v>20</v>
      </c>
      <c r="K6" t="s">
        <v>81</v>
      </c>
      <c r="M6">
        <v>15</v>
      </c>
      <c r="N6">
        <f>0.5915*M6^2</f>
        <v>133.08750000000001</v>
      </c>
      <c r="O6">
        <v>2160</v>
      </c>
      <c r="P6" s="1"/>
      <c r="Q6">
        <f>(J6*9.81)/O6</f>
        <v>9.0833333333333335E-2</v>
      </c>
      <c r="R6">
        <f t="shared" si="0"/>
        <v>165.375</v>
      </c>
      <c r="S6">
        <f t="shared" si="1"/>
        <v>165.32868299638687</v>
      </c>
      <c r="T6">
        <f t="shared" si="2"/>
        <v>165.33029681151842</v>
      </c>
      <c r="U6">
        <f>S6*Q6*(1/Sheet1!$B$13)</f>
        <v>8.3429752067621159</v>
      </c>
      <c r="X6" s="1" t="s">
        <v>82</v>
      </c>
    </row>
    <row r="7" spans="1:24" ht="15.75" x14ac:dyDescent="0.6">
      <c r="A7" t="s">
        <v>83</v>
      </c>
      <c r="B7" t="s">
        <v>84</v>
      </c>
      <c r="C7" t="s">
        <v>85</v>
      </c>
      <c r="E7">
        <v>18</v>
      </c>
      <c r="F7" s="6"/>
      <c r="G7" t="s">
        <v>86</v>
      </c>
      <c r="H7" t="s">
        <v>87</v>
      </c>
      <c r="J7">
        <v>2</v>
      </c>
      <c r="K7" t="s">
        <v>88</v>
      </c>
      <c r="P7" s="1"/>
      <c r="R7">
        <f t="shared" si="0"/>
        <v>0</v>
      </c>
      <c r="S7">
        <f t="shared" si="1"/>
        <v>0</v>
      </c>
      <c r="T7">
        <f t="shared" si="2"/>
        <v>0</v>
      </c>
      <c r="U7">
        <f>S7*Q7*(1/Sheet1!$B$13)</f>
        <v>0</v>
      </c>
      <c r="X7" s="1" t="s">
        <v>89</v>
      </c>
    </row>
    <row r="8" spans="1:24" ht="14.25" x14ac:dyDescent="0.45">
      <c r="A8" t="s">
        <v>90</v>
      </c>
      <c r="B8" t="s">
        <v>91</v>
      </c>
      <c r="C8" t="s">
        <v>49</v>
      </c>
      <c r="E8">
        <v>25</v>
      </c>
      <c r="F8" t="s">
        <v>92</v>
      </c>
      <c r="G8" t="s">
        <v>93</v>
      </c>
      <c r="H8" t="s">
        <v>94</v>
      </c>
      <c r="I8" t="s">
        <v>95</v>
      </c>
      <c r="J8">
        <v>22</v>
      </c>
      <c r="K8" t="s">
        <v>96</v>
      </c>
      <c r="M8">
        <v>20.6</v>
      </c>
      <c r="N8">
        <f>0.5915*M8^2</f>
        <v>251.00894000000005</v>
      </c>
      <c r="O8">
        <v>8960</v>
      </c>
      <c r="P8" s="1"/>
      <c r="Q8">
        <f t="shared" ref="Q8:Q13" si="3">(J8*9.81)/O8</f>
        <v>2.4087053571428575E-2</v>
      </c>
      <c r="R8">
        <f t="shared" si="0"/>
        <v>311.90460000000007</v>
      </c>
      <c r="S8">
        <f t="shared" si="1"/>
        <v>311.81724407265216</v>
      </c>
      <c r="T8">
        <f t="shared" si="2"/>
        <v>311.8202877997154</v>
      </c>
      <c r="U8">
        <f>S8*Q8*(1/Sheet1!$B$13)</f>
        <v>4.1726437013739961</v>
      </c>
      <c r="X8" s="1" t="s">
        <v>97</v>
      </c>
    </row>
    <row r="9" spans="1:24" ht="14.25" x14ac:dyDescent="0.45">
      <c r="A9" t="s">
        <v>98</v>
      </c>
      <c r="B9" t="s">
        <v>84</v>
      </c>
      <c r="E9">
        <v>18</v>
      </c>
      <c r="F9" t="s">
        <v>99</v>
      </c>
      <c r="G9" t="s">
        <v>100</v>
      </c>
      <c r="H9" t="s">
        <v>87</v>
      </c>
      <c r="I9" t="s">
        <v>101</v>
      </c>
      <c r="J9">
        <v>5</v>
      </c>
      <c r="K9" t="s">
        <v>102</v>
      </c>
      <c r="M9">
        <v>10.5556</v>
      </c>
      <c r="N9">
        <v>50</v>
      </c>
      <c r="O9">
        <v>240</v>
      </c>
      <c r="P9" s="1"/>
      <c r="Q9">
        <f t="shared" si="3"/>
        <v>0.20437500000000003</v>
      </c>
      <c r="R9">
        <f t="shared" si="0"/>
        <v>81.894208149600004</v>
      </c>
      <c r="S9">
        <f t="shared" si="1"/>
        <v>81.871271827092002</v>
      </c>
      <c r="T9">
        <f t="shared" si="2"/>
        <v>81.87207099330395</v>
      </c>
      <c r="U9">
        <f>S9*Q9*(1/Sheet1!$B$13)</f>
        <v>9.2958006553677386</v>
      </c>
      <c r="X9" s="1" t="s">
        <v>103</v>
      </c>
    </row>
    <row r="10" spans="1:24" ht="14.25" x14ac:dyDescent="0.45">
      <c r="A10" t="s">
        <v>104</v>
      </c>
      <c r="B10" t="s">
        <v>105</v>
      </c>
      <c r="C10" t="s">
        <v>106</v>
      </c>
      <c r="E10">
        <v>16</v>
      </c>
      <c r="F10" t="s">
        <v>107</v>
      </c>
      <c r="G10" t="s">
        <v>100</v>
      </c>
      <c r="H10" t="s">
        <v>108</v>
      </c>
      <c r="I10" t="s">
        <v>109</v>
      </c>
      <c r="J10">
        <v>5</v>
      </c>
      <c r="O10">
        <v>2000</v>
      </c>
      <c r="P10" s="1"/>
      <c r="Q10">
        <f t="shared" si="3"/>
        <v>2.4525000000000002E-2</v>
      </c>
      <c r="R10">
        <f t="shared" si="0"/>
        <v>0</v>
      </c>
      <c r="S10">
        <f t="shared" si="1"/>
        <v>0</v>
      </c>
      <c r="T10">
        <f t="shared" si="2"/>
        <v>0</v>
      </c>
      <c r="U10">
        <f>S10*Q10*(1/Sheet1!$B$13)</f>
        <v>0</v>
      </c>
      <c r="X10" s="1" t="s">
        <v>110</v>
      </c>
    </row>
    <row r="11" spans="1:24" ht="14.25" x14ac:dyDescent="0.45">
      <c r="A11" t="s">
        <v>111</v>
      </c>
      <c r="C11" t="s">
        <v>49</v>
      </c>
      <c r="E11">
        <v>17</v>
      </c>
      <c r="F11" t="s">
        <v>112</v>
      </c>
      <c r="G11" t="s">
        <v>113</v>
      </c>
      <c r="H11" t="s">
        <v>114</v>
      </c>
      <c r="J11">
        <v>5.75</v>
      </c>
      <c r="O11">
        <v>300</v>
      </c>
      <c r="P11" s="1"/>
      <c r="Q11">
        <f t="shared" si="3"/>
        <v>0.18802500000000003</v>
      </c>
      <c r="R11">
        <f t="shared" si="0"/>
        <v>0</v>
      </c>
      <c r="S11">
        <f t="shared" si="1"/>
        <v>0</v>
      </c>
      <c r="T11">
        <f t="shared" si="2"/>
        <v>0</v>
      </c>
      <c r="U11">
        <f>S11*Q11*(1/Sheet1!$B$13)</f>
        <v>0</v>
      </c>
      <c r="X11" s="1" t="s">
        <v>115</v>
      </c>
    </row>
    <row r="12" spans="1:24" ht="57" x14ac:dyDescent="0.45">
      <c r="A12" t="s">
        <v>116</v>
      </c>
      <c r="B12" t="s">
        <v>117</v>
      </c>
      <c r="C12" t="s">
        <v>118</v>
      </c>
      <c r="D12" t="s">
        <v>119</v>
      </c>
      <c r="E12">
        <v>16.7</v>
      </c>
      <c r="F12" s="7" t="s">
        <v>120</v>
      </c>
      <c r="G12" t="s">
        <v>121</v>
      </c>
      <c r="H12" t="s">
        <v>122</v>
      </c>
      <c r="I12" t="s">
        <v>123</v>
      </c>
      <c r="J12">
        <v>18</v>
      </c>
      <c r="K12" t="s">
        <v>81</v>
      </c>
      <c r="N12">
        <v>50</v>
      </c>
      <c r="O12">
        <v>82</v>
      </c>
      <c r="P12" s="1"/>
      <c r="Q12">
        <f t="shared" si="3"/>
        <v>2.1534146341463418</v>
      </c>
      <c r="R12">
        <f t="shared" si="0"/>
        <v>0</v>
      </c>
      <c r="S12">
        <f t="shared" si="1"/>
        <v>0</v>
      </c>
      <c r="T12">
        <f t="shared" si="2"/>
        <v>0</v>
      </c>
      <c r="U12">
        <f>S12*Q12*(1/Sheet1!$B$13)</f>
        <v>0</v>
      </c>
      <c r="X12" s="1" t="s">
        <v>124</v>
      </c>
    </row>
    <row r="13" spans="1:24" ht="14.25" x14ac:dyDescent="0.45">
      <c r="A13" t="s">
        <v>125</v>
      </c>
      <c r="B13" t="s">
        <v>126</v>
      </c>
      <c r="C13" t="s">
        <v>127</v>
      </c>
      <c r="E13">
        <v>16</v>
      </c>
      <c r="F13" t="s">
        <v>128</v>
      </c>
      <c r="G13" t="s">
        <v>129</v>
      </c>
      <c r="H13" t="s">
        <v>87</v>
      </c>
      <c r="I13" t="s">
        <v>130</v>
      </c>
      <c r="J13">
        <v>4.5</v>
      </c>
      <c r="K13" t="s">
        <v>131</v>
      </c>
      <c r="L13">
        <f>0.5915*M13^2</f>
        <v>0</v>
      </c>
      <c r="O13">
        <v>2000</v>
      </c>
      <c r="P13" s="1"/>
      <c r="Q13">
        <f t="shared" si="3"/>
        <v>2.2072500000000002E-2</v>
      </c>
      <c r="R13">
        <f t="shared" si="0"/>
        <v>0</v>
      </c>
      <c r="S13">
        <f t="shared" si="1"/>
        <v>0</v>
      </c>
      <c r="T13">
        <f t="shared" si="2"/>
        <v>0</v>
      </c>
      <c r="U13">
        <f>S13*Q13*(1/Sheet1!$B$13)</f>
        <v>0</v>
      </c>
      <c r="X13" s="1" t="s">
        <v>132</v>
      </c>
    </row>
    <row r="14" spans="1:24" ht="14.25" x14ac:dyDescent="0.45">
      <c r="A14" t="s">
        <v>133</v>
      </c>
      <c r="B14" t="s">
        <v>84</v>
      </c>
      <c r="C14" t="s">
        <v>134</v>
      </c>
      <c r="D14" t="s">
        <v>135</v>
      </c>
      <c r="E14">
        <v>15.27</v>
      </c>
      <c r="H14" t="s">
        <v>114</v>
      </c>
      <c r="I14" t="s">
        <v>136</v>
      </c>
      <c r="J14">
        <v>3.7</v>
      </c>
      <c r="K14" t="s">
        <v>137</v>
      </c>
      <c r="L14">
        <f>0.5915*M14^2</f>
        <v>0</v>
      </c>
      <c r="P14" s="1"/>
      <c r="R14">
        <f t="shared" si="0"/>
        <v>0</v>
      </c>
      <c r="S14">
        <f t="shared" si="1"/>
        <v>0</v>
      </c>
      <c r="T14">
        <f t="shared" si="2"/>
        <v>0</v>
      </c>
      <c r="U14">
        <f>S14*Q14*(1/Sheet1!$B$13)</f>
        <v>0</v>
      </c>
      <c r="X14" s="1" t="s">
        <v>138</v>
      </c>
    </row>
    <row r="15" spans="1:24" ht="22.15" x14ac:dyDescent="0.55000000000000004">
      <c r="A15" t="s">
        <v>139</v>
      </c>
      <c r="B15" t="s">
        <v>140</v>
      </c>
      <c r="C15" t="s">
        <v>141</v>
      </c>
      <c r="E15">
        <v>19</v>
      </c>
      <c r="F15" t="s">
        <v>142</v>
      </c>
      <c r="G15" t="s">
        <v>129</v>
      </c>
      <c r="H15" t="s">
        <v>143</v>
      </c>
      <c r="I15" t="s">
        <v>144</v>
      </c>
      <c r="J15">
        <v>41</v>
      </c>
      <c r="K15" t="s">
        <v>145</v>
      </c>
      <c r="M15">
        <v>13</v>
      </c>
      <c r="N15">
        <f>0.5915*M15^2</f>
        <v>99.96350000000001</v>
      </c>
      <c r="O15" s="10">
        <v>16703.68</v>
      </c>
      <c r="P15" s="1"/>
      <c r="Q15">
        <f>(J15*9.81)/O15</f>
        <v>2.4079125079024506E-2</v>
      </c>
      <c r="R15">
        <f t="shared" si="0"/>
        <v>124.215</v>
      </c>
      <c r="S15">
        <f t="shared" si="1"/>
        <v>124.18021078395279</v>
      </c>
      <c r="T15">
        <f t="shared" si="2"/>
        <v>124.18142293842941</v>
      </c>
      <c r="U15">
        <f>S15*Q15*(1/Sheet1!$B$13)</f>
        <v>1.6611949043369039</v>
      </c>
      <c r="X15" s="1" t="s">
        <v>146</v>
      </c>
    </row>
    <row r="16" spans="1:24" ht="14.25" x14ac:dyDescent="0.45">
      <c r="A16" t="s">
        <v>147</v>
      </c>
      <c r="B16" t="s">
        <v>148</v>
      </c>
      <c r="C16" t="s">
        <v>149</v>
      </c>
      <c r="E16">
        <v>31</v>
      </c>
      <c r="F16" t="s">
        <v>150</v>
      </c>
      <c r="G16" t="s">
        <v>151</v>
      </c>
      <c r="H16" t="s">
        <v>152</v>
      </c>
      <c r="I16" t="s">
        <v>153</v>
      </c>
      <c r="J16">
        <v>103.05800000000001</v>
      </c>
      <c r="K16" t="s">
        <v>154</v>
      </c>
      <c r="M16">
        <v>30</v>
      </c>
      <c r="N16">
        <f>0.5915*M16^2</f>
        <v>532.35</v>
      </c>
      <c r="O16">
        <v>10080</v>
      </c>
      <c r="P16" s="1"/>
      <c r="Q16">
        <f>(J16*9.81)/O16</f>
        <v>0.10029751785714286</v>
      </c>
      <c r="R16">
        <f t="shared" si="0"/>
        <v>661.5</v>
      </c>
      <c r="S16">
        <f t="shared" si="1"/>
        <v>661.3147319855475</v>
      </c>
      <c r="T16">
        <f t="shared" si="2"/>
        <v>661.32118724607369</v>
      </c>
      <c r="U16">
        <f>S16*Q16*(1/Sheet1!$B$13)</f>
        <v>36.849014522506721</v>
      </c>
      <c r="X16" s="1" t="s">
        <v>155</v>
      </c>
    </row>
    <row r="17" spans="1:24" ht="14.25" x14ac:dyDescent="0.45">
      <c r="A17" t="s">
        <v>156</v>
      </c>
      <c r="B17" t="s">
        <v>157</v>
      </c>
      <c r="C17" t="s">
        <v>158</v>
      </c>
      <c r="E17">
        <v>25</v>
      </c>
      <c r="F17" t="s">
        <v>159</v>
      </c>
      <c r="G17" t="s">
        <v>160</v>
      </c>
      <c r="H17" t="s">
        <v>161</v>
      </c>
      <c r="I17" t="s">
        <v>71</v>
      </c>
      <c r="J17">
        <v>45</v>
      </c>
      <c r="K17" t="s">
        <v>162</v>
      </c>
      <c r="M17">
        <v>13.8889</v>
      </c>
      <c r="N17">
        <f>0.5915*M17^2</f>
        <v>114.10126280871501</v>
      </c>
      <c r="O17">
        <v>2941</v>
      </c>
      <c r="P17" s="1"/>
      <c r="Q17">
        <f>(J17*9.81)/O17</f>
        <v>0.15010200612036723</v>
      </c>
      <c r="R17">
        <f t="shared" si="0"/>
        <v>141.78263425935</v>
      </c>
      <c r="S17">
        <f t="shared" si="1"/>
        <v>141.74292483057741</v>
      </c>
      <c r="T17">
        <f t="shared" si="2"/>
        <v>141.74430841915219</v>
      </c>
      <c r="U17">
        <f>S17*Q17*(1/Sheet1!$B$13)</f>
        <v>11.819942983576713</v>
      </c>
      <c r="X17" s="1" t="s">
        <v>163</v>
      </c>
    </row>
    <row r="18" spans="1:24" ht="14.25" x14ac:dyDescent="0.45">
      <c r="A18" t="s">
        <v>164</v>
      </c>
      <c r="B18" t="s">
        <v>126</v>
      </c>
      <c r="C18" t="s">
        <v>165</v>
      </c>
      <c r="E18">
        <v>16</v>
      </c>
      <c r="F18" t="s">
        <v>166</v>
      </c>
      <c r="G18" t="s">
        <v>129</v>
      </c>
      <c r="H18" t="s">
        <v>167</v>
      </c>
      <c r="I18" t="s">
        <v>109</v>
      </c>
      <c r="J18">
        <v>4.7</v>
      </c>
      <c r="K18" t="s">
        <v>168</v>
      </c>
      <c r="M18">
        <v>8</v>
      </c>
      <c r="N18">
        <f>0.5915*M18^2</f>
        <v>37.856000000000002</v>
      </c>
      <c r="P18" s="1"/>
      <c r="R18">
        <f t="shared" si="0"/>
        <v>47.04</v>
      </c>
      <c r="S18">
        <f t="shared" si="1"/>
        <v>47.026825385638936</v>
      </c>
      <c r="T18">
        <f t="shared" si="2"/>
        <v>47.02728442638746</v>
      </c>
      <c r="U18">
        <f>S18*Q18*(1/Sheet1!$B$13)</f>
        <v>0</v>
      </c>
      <c r="X18" t="s">
        <v>169</v>
      </c>
    </row>
    <row r="19" spans="1:24" ht="14.25" x14ac:dyDescent="0.45">
      <c r="A19" t="s">
        <v>170</v>
      </c>
      <c r="B19" t="s">
        <v>171</v>
      </c>
      <c r="C19" t="s">
        <v>172</v>
      </c>
      <c r="E19">
        <v>36</v>
      </c>
      <c r="G19" t="s">
        <v>129</v>
      </c>
      <c r="H19" t="s">
        <v>161</v>
      </c>
      <c r="I19" t="s">
        <v>173</v>
      </c>
      <c r="J19">
        <v>30</v>
      </c>
      <c r="K19" t="s">
        <v>174</v>
      </c>
      <c r="M19">
        <v>18.055</v>
      </c>
      <c r="N19">
        <f>0.5915*M19^2</f>
        <v>192.81895928750001</v>
      </c>
      <c r="O19">
        <v>279.63745</v>
      </c>
      <c r="P19" s="1"/>
      <c r="Q19">
        <f>(J19*9.81)/O19</f>
        <v>1.0524341428517532</v>
      </c>
      <c r="R19">
        <f t="shared" si="0"/>
        <v>239.59752337499998</v>
      </c>
      <c r="S19">
        <f t="shared" si="1"/>
        <v>239.5304186774589</v>
      </c>
      <c r="T19">
        <f t="shared" si="2"/>
        <v>239.53275679451835</v>
      </c>
      <c r="U19">
        <f>S19*Q19*(1/Sheet1!$B$13)</f>
        <v>140.04999492651837</v>
      </c>
      <c r="X19" s="1" t="s">
        <v>175</v>
      </c>
    </row>
    <row r="20" spans="1:24" ht="14.25" x14ac:dyDescent="0.45">
      <c r="A20" t="s">
        <v>176</v>
      </c>
      <c r="B20" t="s">
        <v>177</v>
      </c>
      <c r="C20" t="s">
        <v>178</v>
      </c>
      <c r="F20" t="s">
        <v>179</v>
      </c>
      <c r="H20" t="s">
        <v>180</v>
      </c>
      <c r="I20" t="s">
        <v>181</v>
      </c>
      <c r="J20">
        <v>1.1000000000000001</v>
      </c>
      <c r="K20" t="s">
        <v>182</v>
      </c>
      <c r="L20">
        <f>0.5915*M20^2</f>
        <v>0</v>
      </c>
      <c r="P20" s="1"/>
      <c r="R20">
        <f t="shared" si="0"/>
        <v>0</v>
      </c>
      <c r="S20">
        <f t="shared" si="1"/>
        <v>0</v>
      </c>
      <c r="T20">
        <f t="shared" si="2"/>
        <v>0</v>
      </c>
      <c r="U20">
        <f>S20*Q20*(1/Sheet1!$B$13)</f>
        <v>0</v>
      </c>
      <c r="X20" s="1" t="s">
        <v>183</v>
      </c>
    </row>
    <row r="21" spans="1:24" ht="28.5" x14ac:dyDescent="0.45">
      <c r="A21" t="s">
        <v>184</v>
      </c>
      <c r="B21" t="s">
        <v>84</v>
      </c>
      <c r="C21" t="s">
        <v>185</v>
      </c>
      <c r="F21" s="7" t="s">
        <v>186</v>
      </c>
      <c r="H21" t="s">
        <v>187</v>
      </c>
      <c r="I21" t="s">
        <v>188</v>
      </c>
      <c r="J21">
        <v>2.5</v>
      </c>
      <c r="K21" t="s">
        <v>117</v>
      </c>
      <c r="L21">
        <f>0.5915*M21^2</f>
        <v>0</v>
      </c>
      <c r="P21" s="1"/>
      <c r="R21">
        <f t="shared" si="0"/>
        <v>0</v>
      </c>
      <c r="S21">
        <f t="shared" si="1"/>
        <v>0</v>
      </c>
      <c r="T21">
        <f t="shared" si="2"/>
        <v>0</v>
      </c>
      <c r="U21">
        <f>S21*Q21*(1/Sheet1!$B$13)</f>
        <v>0</v>
      </c>
      <c r="X21" s="1" t="s">
        <v>189</v>
      </c>
    </row>
    <row r="22" spans="1:24" ht="14.25" x14ac:dyDescent="0.45">
      <c r="A22" t="s">
        <v>190</v>
      </c>
      <c r="B22" t="s">
        <v>191</v>
      </c>
      <c r="C22" t="s">
        <v>178</v>
      </c>
      <c r="E22">
        <v>15.4</v>
      </c>
      <c r="G22" t="s">
        <v>192</v>
      </c>
      <c r="H22" t="s">
        <v>114</v>
      </c>
      <c r="I22" t="s">
        <v>193</v>
      </c>
      <c r="J22">
        <v>7.82</v>
      </c>
      <c r="K22" t="s">
        <v>194</v>
      </c>
      <c r="L22">
        <f>0.5915*M22^2</f>
        <v>35.161185150000001</v>
      </c>
      <c r="M22">
        <v>7.71</v>
      </c>
      <c r="P22" s="1"/>
      <c r="R22">
        <f t="shared" si="0"/>
        <v>43.691413499999996</v>
      </c>
      <c r="S22">
        <f t="shared" si="1"/>
        <v>43.679176732913419</v>
      </c>
      <c r="T22">
        <f t="shared" si="2"/>
        <v>43.679603096415917</v>
      </c>
      <c r="U22">
        <f>S22*Q22*(1/Sheet1!$B$13)</f>
        <v>0</v>
      </c>
      <c r="X22" s="1" t="s">
        <v>195</v>
      </c>
    </row>
    <row r="23" spans="1:24" ht="14.25" x14ac:dyDescent="0.45">
      <c r="A23" t="s">
        <v>196</v>
      </c>
      <c r="B23" t="s">
        <v>145</v>
      </c>
      <c r="C23" t="s">
        <v>197</v>
      </c>
      <c r="F23" t="s">
        <v>198</v>
      </c>
      <c r="G23" t="s">
        <v>199</v>
      </c>
      <c r="H23" t="s">
        <v>200</v>
      </c>
      <c r="I23" t="s">
        <v>201</v>
      </c>
      <c r="J23">
        <v>74.84</v>
      </c>
      <c r="K23" t="s">
        <v>202</v>
      </c>
      <c r="L23">
        <f>0.5915*M23^2</f>
        <v>0</v>
      </c>
      <c r="P23" s="1"/>
      <c r="R23">
        <f t="shared" si="0"/>
        <v>0</v>
      </c>
      <c r="S23">
        <f t="shared" si="1"/>
        <v>0</v>
      </c>
      <c r="T23">
        <f t="shared" si="2"/>
        <v>0</v>
      </c>
      <c r="U23">
        <f>S23*Q23*(1/Sheet1!$B$13)</f>
        <v>0</v>
      </c>
      <c r="X23" s="1" t="s">
        <v>203</v>
      </c>
    </row>
    <row r="24" spans="1:24" ht="14.25" x14ac:dyDescent="0.45">
      <c r="X24" s="1" t="s">
        <v>204</v>
      </c>
    </row>
    <row r="36" spans="1:18" ht="14.25" x14ac:dyDescent="0.45">
      <c r="Q36">
        <v>11.756706346409734</v>
      </c>
      <c r="R36">
        <v>0.17780625</v>
      </c>
    </row>
    <row r="37" spans="1:18" ht="14.25" x14ac:dyDescent="0.45">
      <c r="Q37">
        <v>239.5304186774589</v>
      </c>
      <c r="R37">
        <v>0.19129500000000002</v>
      </c>
    </row>
    <row r="38" spans="1:18" ht="14.25" x14ac:dyDescent="0.45">
      <c r="Q38">
        <v>165.32868299638687</v>
      </c>
      <c r="R38">
        <v>9.0833333333333335E-2</v>
      </c>
    </row>
    <row r="39" spans="1:18" ht="14.25" x14ac:dyDescent="0.45">
      <c r="B39" s="3" t="s">
        <v>28</v>
      </c>
      <c r="C39" s="3" t="s">
        <v>29</v>
      </c>
      <c r="D39" s="3" t="s">
        <v>30</v>
      </c>
      <c r="E39" s="3" t="s">
        <v>31</v>
      </c>
      <c r="F39" s="3" t="s">
        <v>32</v>
      </c>
      <c r="G39" s="3" t="s">
        <v>33</v>
      </c>
      <c r="H39" s="4" t="s">
        <v>34</v>
      </c>
      <c r="I39" s="4" t="s">
        <v>35</v>
      </c>
      <c r="Q39">
        <v>311.81724407265216</v>
      </c>
      <c r="R39">
        <v>2.4087053571428575E-2</v>
      </c>
    </row>
    <row r="40" spans="1:18" ht="14.25" x14ac:dyDescent="0.45">
      <c r="A40" t="s">
        <v>205</v>
      </c>
      <c r="B40" t="s">
        <v>117</v>
      </c>
      <c r="C40" t="s">
        <v>141</v>
      </c>
      <c r="D40" t="s">
        <v>206</v>
      </c>
      <c r="E40" t="s">
        <v>207</v>
      </c>
      <c r="F40" t="s">
        <v>208</v>
      </c>
      <c r="G40" t="s">
        <v>129</v>
      </c>
      <c r="H40" t="s">
        <v>209</v>
      </c>
      <c r="I40" t="s">
        <v>210</v>
      </c>
      <c r="Q40">
        <v>81.871271827092002</v>
      </c>
      <c r="R40">
        <v>0.20437500000000003</v>
      </c>
    </row>
    <row r="41" spans="1:18" ht="14.25" x14ac:dyDescent="0.45">
      <c r="Q41">
        <v>124.18021078395279</v>
      </c>
      <c r="R41">
        <v>2.1534146341463418</v>
      </c>
    </row>
    <row r="42" spans="1:18" ht="14.25" x14ac:dyDescent="0.45">
      <c r="A42" t="s">
        <v>211</v>
      </c>
      <c r="Q42">
        <v>661.3147319855475</v>
      </c>
      <c r="R42">
        <v>2.2072500000000002E-2</v>
      </c>
    </row>
    <row r="43" spans="1:18" ht="14.25" x14ac:dyDescent="0.45">
      <c r="A43" t="s">
        <v>212</v>
      </c>
      <c r="B43" t="s">
        <v>213</v>
      </c>
      <c r="Q43">
        <v>141.74292483057741</v>
      </c>
      <c r="R43">
        <v>2.4079125079024506E-2</v>
      </c>
    </row>
    <row r="44" spans="1:18" ht="14.25" x14ac:dyDescent="0.45">
      <c r="Q44">
        <v>47.026825385638936</v>
      </c>
      <c r="R44">
        <v>0.10029751785714286</v>
      </c>
    </row>
    <row r="45" spans="1:18" ht="14.25" x14ac:dyDescent="0.45">
      <c r="Q45">
        <v>239.5304186774589</v>
      </c>
      <c r="R45">
        <v>0.15010200612036723</v>
      </c>
    </row>
    <row r="46" spans="1:18" ht="14.25" x14ac:dyDescent="0.45">
      <c r="Q46">
        <v>43.679176732913419</v>
      </c>
      <c r="R46">
        <v>1.0524341428517532</v>
      </c>
    </row>
    <row r="47" spans="1:18" ht="14.25" x14ac:dyDescent="0.45">
      <c r="A47" t="s">
        <v>214</v>
      </c>
    </row>
    <row r="49" spans="1:23" ht="14.25" x14ac:dyDescent="0.45"/>
    <row r="50" spans="1:23" ht="14.25" x14ac:dyDescent="0.45">
      <c r="A50" t="s">
        <v>215</v>
      </c>
      <c r="B50">
        <v>10</v>
      </c>
      <c r="C50">
        <v>5.5</v>
      </c>
      <c r="D50">
        <f>9.81*B50</f>
        <v>98.100000000000009</v>
      </c>
      <c r="E50">
        <f>9.81*C50</f>
        <v>53.955000000000005</v>
      </c>
      <c r="V50" t="s">
        <v>46</v>
      </c>
      <c r="W50" t="s">
        <v>40</v>
      </c>
    </row>
    <row r="51" spans="1:23" ht="14.25" x14ac:dyDescent="0.45">
      <c r="B51" s="7">
        <v>5.8</v>
      </c>
      <c r="C51" s="7">
        <v>5.2</v>
      </c>
      <c r="D51">
        <f t="shared" ref="D51:E68" si="4">9.81*B51</f>
        <v>56.898000000000003</v>
      </c>
      <c r="E51">
        <f t="shared" si="4"/>
        <v>51.012000000000008</v>
      </c>
      <c r="V51">
        <v>1.1613421487812867</v>
      </c>
      <c r="W51">
        <v>200</v>
      </c>
    </row>
    <row r="52" spans="1:23" ht="14.25" x14ac:dyDescent="0.45">
      <c r="B52">
        <v>39</v>
      </c>
      <c r="C52">
        <v>29</v>
      </c>
      <c r="D52">
        <f t="shared" si="4"/>
        <v>382.59000000000003</v>
      </c>
      <c r="E52">
        <f t="shared" si="4"/>
        <v>284.49</v>
      </c>
      <c r="V52">
        <v>25.456095244946951</v>
      </c>
      <c r="W52">
        <v>192.81895928750001</v>
      </c>
    </row>
    <row r="53" spans="1:23" ht="14.25" x14ac:dyDescent="0.45">
      <c r="B53">
        <v>20</v>
      </c>
      <c r="C53">
        <v>16</v>
      </c>
      <c r="D53">
        <f t="shared" si="4"/>
        <v>196.20000000000002</v>
      </c>
      <c r="E53">
        <f t="shared" si="4"/>
        <v>156.96</v>
      </c>
      <c r="V53">
        <v>8.3429752067621159</v>
      </c>
      <c r="W53">
        <v>133.08750000000001</v>
      </c>
    </row>
    <row r="54" spans="1:23" ht="14.25" x14ac:dyDescent="0.45">
      <c r="B54">
        <v>2</v>
      </c>
      <c r="C54">
        <v>1.5</v>
      </c>
      <c r="D54">
        <f t="shared" si="4"/>
        <v>19.62</v>
      </c>
      <c r="E54">
        <f t="shared" si="4"/>
        <v>14.715</v>
      </c>
      <c r="V54">
        <v>4.1726437013739961</v>
      </c>
      <c r="W54">
        <v>251.00894000000005</v>
      </c>
    </row>
    <row r="55" spans="1:23" ht="14.25" x14ac:dyDescent="0.45">
      <c r="B55">
        <v>22</v>
      </c>
      <c r="C55">
        <v>17</v>
      </c>
      <c r="D55">
        <f t="shared" si="4"/>
        <v>215.82000000000002</v>
      </c>
      <c r="E55">
        <f t="shared" si="4"/>
        <v>166.77</v>
      </c>
      <c r="V55">
        <v>9.2958006553677386</v>
      </c>
      <c r="W55">
        <v>50</v>
      </c>
    </row>
    <row r="56" spans="1:23" ht="14.25" x14ac:dyDescent="0.45">
      <c r="B56">
        <v>5</v>
      </c>
      <c r="C56">
        <v>4.5</v>
      </c>
      <c r="D56">
        <f t="shared" si="4"/>
        <v>49.050000000000004</v>
      </c>
      <c r="E56">
        <f t="shared" si="4"/>
        <v>44.145000000000003</v>
      </c>
      <c r="V56">
        <v>1.6611949043369039</v>
      </c>
      <c r="W56">
        <v>99.96350000000001</v>
      </c>
    </row>
    <row r="57" spans="1:23" ht="14.25" x14ac:dyDescent="0.45">
      <c r="B57">
        <v>18</v>
      </c>
      <c r="C57">
        <v>16</v>
      </c>
      <c r="D57">
        <f t="shared" si="4"/>
        <v>176.58</v>
      </c>
      <c r="E57">
        <f t="shared" si="4"/>
        <v>156.96</v>
      </c>
      <c r="V57">
        <v>36.849014522506721</v>
      </c>
      <c r="W57">
        <v>532.35</v>
      </c>
    </row>
    <row r="58" spans="1:23" ht="14.25" x14ac:dyDescent="0.45">
      <c r="B58">
        <v>4.5</v>
      </c>
      <c r="C58">
        <v>3.5</v>
      </c>
      <c r="D58">
        <f t="shared" si="4"/>
        <v>44.145000000000003</v>
      </c>
      <c r="E58">
        <f t="shared" si="4"/>
        <v>34.335000000000001</v>
      </c>
      <c r="V58">
        <v>11.819942983576713</v>
      </c>
      <c r="W58">
        <v>114.10126280871501</v>
      </c>
    </row>
    <row r="59" spans="1:23" ht="14.25" x14ac:dyDescent="0.45">
      <c r="B59">
        <v>3.7</v>
      </c>
      <c r="C59">
        <v>3.2</v>
      </c>
      <c r="D59">
        <f t="shared" si="4"/>
        <v>36.297000000000004</v>
      </c>
      <c r="E59">
        <f t="shared" si="4"/>
        <v>31.392000000000003</v>
      </c>
    </row>
    <row r="60" spans="1:23" ht="14.25" x14ac:dyDescent="0.45">
      <c r="B60">
        <v>41</v>
      </c>
      <c r="C60">
        <v>18</v>
      </c>
      <c r="D60">
        <f t="shared" si="4"/>
        <v>402.21000000000004</v>
      </c>
      <c r="E60">
        <f t="shared" si="4"/>
        <v>176.58</v>
      </c>
    </row>
    <row r="61" spans="1:23" ht="14.25" x14ac:dyDescent="0.45">
      <c r="B61">
        <v>103.05800000000001</v>
      </c>
      <c r="C61">
        <v>74.84</v>
      </c>
      <c r="D61">
        <f t="shared" si="4"/>
        <v>1010.9989800000001</v>
      </c>
      <c r="E61">
        <f t="shared" si="4"/>
        <v>734.18040000000008</v>
      </c>
    </row>
    <row r="62" spans="1:23" ht="14.25" x14ac:dyDescent="0.45">
      <c r="B62">
        <v>45</v>
      </c>
      <c r="C62">
        <v>38</v>
      </c>
      <c r="D62">
        <f t="shared" si="4"/>
        <v>441.45000000000005</v>
      </c>
      <c r="E62">
        <f t="shared" si="4"/>
        <v>372.78000000000003</v>
      </c>
    </row>
    <row r="63" spans="1:23" ht="14.25" x14ac:dyDescent="0.45">
      <c r="B63">
        <v>4.7</v>
      </c>
      <c r="C63">
        <v>3.7</v>
      </c>
      <c r="D63">
        <f t="shared" si="4"/>
        <v>46.107000000000006</v>
      </c>
      <c r="E63">
        <f t="shared" si="4"/>
        <v>36.297000000000004</v>
      </c>
    </row>
    <row r="64" spans="1:23" ht="14.25" x14ac:dyDescent="0.45">
      <c r="B64">
        <v>30</v>
      </c>
      <c r="C64">
        <v>27</v>
      </c>
      <c r="D64">
        <f t="shared" si="4"/>
        <v>294.3</v>
      </c>
      <c r="E64">
        <f t="shared" si="4"/>
        <v>264.87</v>
      </c>
    </row>
    <row r="65" spans="2:5" ht="14.25" x14ac:dyDescent="0.45">
      <c r="B65">
        <v>1.1000000000000001</v>
      </c>
      <c r="C65">
        <v>0.8</v>
      </c>
      <c r="D65">
        <f t="shared" si="4"/>
        <v>10.791000000000002</v>
      </c>
      <c r="E65">
        <f t="shared" si="4"/>
        <v>7.8480000000000008</v>
      </c>
    </row>
    <row r="66" spans="2:5" ht="14.25" x14ac:dyDescent="0.45">
      <c r="B66">
        <v>2.5</v>
      </c>
      <c r="C66">
        <v>2</v>
      </c>
      <c r="D66">
        <f t="shared" si="4"/>
        <v>24.525000000000002</v>
      </c>
      <c r="E66">
        <f t="shared" si="4"/>
        <v>19.62</v>
      </c>
    </row>
    <row r="67" spans="2:5" ht="14.25" x14ac:dyDescent="0.45">
      <c r="B67">
        <v>7.82</v>
      </c>
      <c r="C67">
        <v>6.1461766000000004</v>
      </c>
      <c r="D67">
        <f t="shared" si="4"/>
        <v>76.714200000000005</v>
      </c>
      <c r="E67">
        <f t="shared" si="4"/>
        <v>60.293992446000004</v>
      </c>
    </row>
    <row r="68" spans="2:5" ht="14.25" x14ac:dyDescent="0.45">
      <c r="B68">
        <v>74.84</v>
      </c>
      <c r="C68">
        <v>56.84</v>
      </c>
      <c r="D68">
        <f t="shared" si="4"/>
        <v>734.18040000000008</v>
      </c>
      <c r="E68">
        <f t="shared" si="4"/>
        <v>557.60040000000004</v>
      </c>
    </row>
    <row r="69" spans="2:5" ht="14.25" x14ac:dyDescent="0.45"/>
    <row r="70" spans="2:5" ht="14.25" x14ac:dyDescent="0.45"/>
  </sheetData>
  <hyperlinks>
    <hyperlink ref="X4" r:id="rId1" xr:uid="{6FFC14BF-051B-408D-95E6-22DC7EC59700}"/>
    <hyperlink ref="X5" r:id="rId2" xr:uid="{97F1849E-D32C-4AF1-A546-CDE7EF2B342F}"/>
    <hyperlink ref="X6" r:id="rId3" xr:uid="{E17AA71A-AEE2-4D9D-8DE1-1439AA0964D2}"/>
    <hyperlink ref="X7" r:id="rId4" xr:uid="{CAC900F7-5F86-43D9-92A5-F2178D6824D5}"/>
    <hyperlink ref="X9" r:id="rId5" xr:uid="{3692E931-29BA-4630-AF0D-34AAB6D9251D}"/>
    <hyperlink ref="X8" r:id="rId6" xr:uid="{D2222087-4454-42A0-91C3-CC944A51B6CC}"/>
    <hyperlink ref="X10" r:id="rId7" xr:uid="{29FA759A-E256-4F75-8CA6-63451EBE76DF}"/>
    <hyperlink ref="X11" r:id="rId8" location="open2113345" xr:uid="{F67DA01E-01B4-4887-8154-70CA289E7828}"/>
    <hyperlink ref="X12" r:id="rId9" xr:uid="{57C41CCB-4CFA-4D03-B6B3-A304B331E0B5}"/>
    <hyperlink ref="X13" r:id="rId10" display="https://geo-matching.com/products/dt26x-lidar" xr:uid="{248F3A0B-27AF-4E4B-9B6B-AA366CE38E04}"/>
    <hyperlink ref="X14" r:id="rId11" xr:uid="{FB1F2E7B-7B2B-41B9-A09D-1B498503AA75}"/>
    <hyperlink ref="X15" r:id="rId12" xr:uid="{5364B255-5306-4E4C-B28E-503F74C64E40}"/>
    <hyperlink ref="X16" r:id="rId13" xr:uid="{F8A6F76C-EF06-4BC6-BC4A-0E789D382BDD}"/>
    <hyperlink ref="X17" r:id="rId14" xr:uid="{0CAE0E4D-0D1F-454F-B986-5640E4C61946}"/>
    <hyperlink ref="X19" r:id="rId15" xr:uid="{CDFF1CA9-DF7C-45B5-B568-31ACA3592FF8}"/>
    <hyperlink ref="X20" r:id="rId16" xr:uid="{DC70C9EF-9AB5-4BE6-9932-1CA60B4BEA4B}"/>
    <hyperlink ref="X21" r:id="rId17" xr:uid="{C5813F21-4BD0-4633-A129-2ECA82CE9C3D}"/>
    <hyperlink ref="X22" r:id="rId18" xr:uid="{B3989EF0-4BB2-48F2-B825-4A997F8AB434}"/>
    <hyperlink ref="X23" r:id="rId19" xr:uid="{4ACE87C1-F3B2-4702-A27E-AA0AB1983EA7}"/>
    <hyperlink ref="X24" r:id="rId20" xr:uid="{CD009D2D-A12B-4AAF-B45C-AF5B8B761BA9}"/>
  </hyperlinks>
  <pageMargins left="0.7" right="0.7" top="0.75" bottom="0.75" header="0.3" footer="0.3"/>
  <pageSetup orientation="portrait" r:id="rId21"/>
  <drawing r:id="rId22"/>
  <tableParts count="1"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5DE1-9605-4840-B9ED-F101CB74BBDB}">
  <dimension ref="A1:I42"/>
  <sheetViews>
    <sheetView tabSelected="1" zoomScale="70" zoomScaleNormal="70" workbookViewId="0">
      <selection activeCell="Y14" sqref="Y14"/>
    </sheetView>
  </sheetViews>
  <sheetFormatPr defaultRowHeight="14.25" x14ac:dyDescent="0.45"/>
  <sheetData>
    <row r="1" spans="1:9" x14ac:dyDescent="0.45">
      <c r="A1">
        <f>0.5*Sheet1!B15*Sheet1!B14^2*Sheet1!B13</f>
        <v>357.21000000000004</v>
      </c>
      <c r="B1" t="s">
        <v>216</v>
      </c>
    </row>
    <row r="2" spans="1:9" x14ac:dyDescent="0.45">
      <c r="A2">
        <f>(Sheet1!B13*Sheet1!B15*(Sheet1!B16/0.5915))/2</f>
        <v>357.21000000000004</v>
      </c>
      <c r="B2" t="s">
        <v>217</v>
      </c>
      <c r="H2" t="s">
        <v>221</v>
      </c>
      <c r="I2" t="s">
        <v>220</v>
      </c>
    </row>
    <row r="3" spans="1:9" x14ac:dyDescent="0.45">
      <c r="A3">
        <f>(A2^-1) * Sheet1!B19 * Sheet1!B13 * Sheet1!B15</f>
        <v>6.5983458781530113E-2</v>
      </c>
      <c r="B3" t="s">
        <v>220</v>
      </c>
      <c r="H3">
        <v>10</v>
      </c>
      <c r="I3">
        <f>(H3^-1) * Sheet1!$B$19 * Sheet1!$B$13 * Sheet1!$B$15</f>
        <v>2.3569951311350374</v>
      </c>
    </row>
    <row r="4" spans="1:9" x14ac:dyDescent="0.45">
      <c r="H4">
        <v>20</v>
      </c>
      <c r="I4">
        <f>(H4^-1) * Sheet1!$B$19 * Sheet1!$B$13 * Sheet1!$B$15</f>
        <v>1.1784975655675187</v>
      </c>
    </row>
    <row r="5" spans="1:9" x14ac:dyDescent="0.45">
      <c r="H5">
        <v>30</v>
      </c>
      <c r="I5">
        <f>(H5^-1) * Sheet1!$B$19 * Sheet1!$B$13 * Sheet1!$B$15</f>
        <v>0.78566504371167922</v>
      </c>
    </row>
    <row r="6" spans="1:9" x14ac:dyDescent="0.45">
      <c r="H6">
        <v>40</v>
      </c>
      <c r="I6">
        <f>(H6^-1) * Sheet1!$B$19 * Sheet1!$B$13 * Sheet1!$B$15</f>
        <v>0.58924878278375936</v>
      </c>
    </row>
    <row r="7" spans="1:9" x14ac:dyDescent="0.45">
      <c r="H7">
        <v>50</v>
      </c>
      <c r="I7">
        <f>(H7^-1) * Sheet1!$B$19 * Sheet1!$B$13 * Sheet1!$B$15</f>
        <v>0.47139902622700752</v>
      </c>
    </row>
    <row r="8" spans="1:9" x14ac:dyDescent="0.45">
      <c r="H8">
        <v>60</v>
      </c>
      <c r="I8">
        <f>(H8^-1) * Sheet1!$B$19 * Sheet1!$B$13 * Sheet1!$B$15</f>
        <v>0.39283252185583961</v>
      </c>
    </row>
    <row r="9" spans="1:9" x14ac:dyDescent="0.45">
      <c r="H9">
        <v>70</v>
      </c>
      <c r="I9">
        <f>(H9^-1) * Sheet1!$B$19 * Sheet1!$B$13 * Sheet1!$B$15</f>
        <v>0.33671359016214819</v>
      </c>
    </row>
    <row r="10" spans="1:9" x14ac:dyDescent="0.45">
      <c r="H10">
        <v>80</v>
      </c>
      <c r="I10">
        <f>(H10^-1) * Sheet1!$B$19 * Sheet1!$B$13 * Sheet1!$B$15</f>
        <v>0.29462439139187968</v>
      </c>
    </row>
    <row r="11" spans="1:9" x14ac:dyDescent="0.45">
      <c r="H11">
        <v>90</v>
      </c>
      <c r="I11">
        <f>(H11^-1) * Sheet1!$B$19 * Sheet1!$B$13 * Sheet1!$B$15</f>
        <v>0.26188834790389304</v>
      </c>
    </row>
    <row r="12" spans="1:9" x14ac:dyDescent="0.45">
      <c r="H12">
        <v>100</v>
      </c>
      <c r="I12">
        <f>(H12^-1) * Sheet1!$B$19 * Sheet1!$B$13 * Sheet1!$B$15</f>
        <v>0.23569951311350376</v>
      </c>
    </row>
    <row r="13" spans="1:9" x14ac:dyDescent="0.45">
      <c r="H13">
        <v>110</v>
      </c>
      <c r="I13">
        <f>(H13^-1) * Sheet1!$B$19 * Sheet1!$B$13 * Sheet1!$B$15</f>
        <v>0.21427228464863976</v>
      </c>
    </row>
    <row r="14" spans="1:9" x14ac:dyDescent="0.45">
      <c r="H14">
        <v>120</v>
      </c>
      <c r="I14">
        <f>(H14^-1) * Sheet1!$B$19 * Sheet1!$B$13 * Sheet1!$B$15</f>
        <v>0.19641626092791981</v>
      </c>
    </row>
    <row r="15" spans="1:9" x14ac:dyDescent="0.45">
      <c r="H15">
        <v>130</v>
      </c>
      <c r="I15">
        <f>(H15^-1) * Sheet1!$B$19 * Sheet1!$B$13 * Sheet1!$B$15</f>
        <v>0.18130731777961828</v>
      </c>
    </row>
    <row r="16" spans="1:9" x14ac:dyDescent="0.45">
      <c r="H16">
        <v>140</v>
      </c>
      <c r="I16">
        <f>(H16^-1) * Sheet1!$B$19 * Sheet1!$B$13 * Sheet1!$B$15</f>
        <v>0.1683567950810741</v>
      </c>
    </row>
    <row r="17" spans="8:9" x14ac:dyDescent="0.45">
      <c r="H17">
        <v>150</v>
      </c>
      <c r="I17">
        <f>(H17^-1) * Sheet1!$B$19 * Sheet1!$B$13 * Sheet1!$B$15</f>
        <v>0.15713300874233585</v>
      </c>
    </row>
    <row r="18" spans="8:9" x14ac:dyDescent="0.45">
      <c r="H18">
        <v>160</v>
      </c>
      <c r="I18">
        <f>(H18^-1) * Sheet1!$B$19 * Sheet1!$B$13 * Sheet1!$B$15</f>
        <v>0.14731219569593984</v>
      </c>
    </row>
    <row r="19" spans="8:9" x14ac:dyDescent="0.45">
      <c r="H19">
        <v>170</v>
      </c>
      <c r="I19">
        <f>(H19^-1) * Sheet1!$B$19 * Sheet1!$B$13 * Sheet1!$B$15</f>
        <v>0.13864677241970808</v>
      </c>
    </row>
    <row r="20" spans="8:9" x14ac:dyDescent="0.45">
      <c r="H20">
        <v>180</v>
      </c>
      <c r="I20">
        <f>(H20^-1) * Sheet1!$B$19 * Sheet1!$B$13 * Sheet1!$B$15</f>
        <v>0.13094417395194652</v>
      </c>
    </row>
    <row r="21" spans="8:9" x14ac:dyDescent="0.45">
      <c r="H21">
        <v>190</v>
      </c>
      <c r="I21">
        <f>(H21^-1) * Sheet1!$B$19 * Sheet1!$B$13 * Sheet1!$B$15</f>
        <v>0.1240523753228967</v>
      </c>
    </row>
    <row r="22" spans="8:9" x14ac:dyDescent="0.45">
      <c r="H22">
        <v>200</v>
      </c>
      <c r="I22">
        <f>(H22^-1) * Sheet1!$B$19 * Sheet1!$B$13 * Sheet1!$B$15</f>
        <v>0.11784975655675188</v>
      </c>
    </row>
    <row r="23" spans="8:9" x14ac:dyDescent="0.45">
      <c r="H23">
        <v>210</v>
      </c>
      <c r="I23">
        <f>(H23^-1) * Sheet1!$B$19 * Sheet1!$B$13 * Sheet1!$B$15</f>
        <v>0.11223786338738274</v>
      </c>
    </row>
    <row r="24" spans="8:9" x14ac:dyDescent="0.45">
      <c r="H24">
        <v>220</v>
      </c>
      <c r="I24">
        <f>(H24^-1) * Sheet1!$B$19 * Sheet1!$B$13 * Sheet1!$B$15</f>
        <v>0.10713614232431988</v>
      </c>
    </row>
    <row r="25" spans="8:9" x14ac:dyDescent="0.45">
      <c r="H25">
        <v>230</v>
      </c>
      <c r="I25">
        <f>(H25^-1) * Sheet1!$B$19 * Sheet1!$B$13 * Sheet1!$B$15</f>
        <v>0.10247804917978423</v>
      </c>
    </row>
    <row r="26" spans="8:9" x14ac:dyDescent="0.45">
      <c r="H26">
        <v>240</v>
      </c>
      <c r="I26">
        <f>(H26^-1) * Sheet1!$B$19 * Sheet1!$B$13 * Sheet1!$B$15</f>
        <v>9.8208130463959903E-2</v>
      </c>
    </row>
    <row r="27" spans="8:9" x14ac:dyDescent="0.45">
      <c r="H27">
        <v>250</v>
      </c>
      <c r="I27">
        <f>(H27^-1) * Sheet1!$B$19 * Sheet1!$B$13 * Sheet1!$B$15</f>
        <v>9.4279805245401499E-2</v>
      </c>
    </row>
    <row r="28" spans="8:9" x14ac:dyDescent="0.45">
      <c r="H28">
        <v>260</v>
      </c>
      <c r="I28">
        <f>(H28^-1) * Sheet1!$B$19 * Sheet1!$B$13 * Sheet1!$B$15</f>
        <v>9.0653658889809141E-2</v>
      </c>
    </row>
    <row r="29" spans="8:9" x14ac:dyDescent="0.45">
      <c r="H29">
        <v>270</v>
      </c>
      <c r="I29">
        <f>(H29^-1) * Sheet1!$B$19 * Sheet1!$B$13 * Sheet1!$B$15</f>
        <v>8.7296115967964355E-2</v>
      </c>
    </row>
    <row r="30" spans="8:9" x14ac:dyDescent="0.45">
      <c r="H30">
        <v>280</v>
      </c>
      <c r="I30">
        <f>(H30^-1) * Sheet1!$B$19 * Sheet1!$B$13 * Sheet1!$B$15</f>
        <v>8.4178397540537048E-2</v>
      </c>
    </row>
    <row r="31" spans="8:9" x14ac:dyDescent="0.45">
      <c r="H31">
        <v>290</v>
      </c>
      <c r="I31">
        <f>(H31^-1) * Sheet1!$B$19 * Sheet1!$B$13 * Sheet1!$B$15</f>
        <v>8.1275694177070271E-2</v>
      </c>
    </row>
    <row r="32" spans="8:9" x14ac:dyDescent="0.45">
      <c r="H32">
        <v>300</v>
      </c>
      <c r="I32">
        <f>(H32^-1) * Sheet1!$B$19 * Sheet1!$B$13 * Sheet1!$B$15</f>
        <v>7.8566504371167925E-2</v>
      </c>
    </row>
    <row r="33" spans="8:9" x14ac:dyDescent="0.45">
      <c r="H33">
        <v>310</v>
      </c>
      <c r="I33">
        <f>(H33^-1) * Sheet1!$B$19 * Sheet1!$B$13 * Sheet1!$B$15</f>
        <v>7.6032101004356048E-2</v>
      </c>
    </row>
    <row r="34" spans="8:9" x14ac:dyDescent="0.45">
      <c r="H34">
        <v>320</v>
      </c>
      <c r="I34">
        <f>(H34^-1) * Sheet1!$B$19 * Sheet1!$B$13 * Sheet1!$B$15</f>
        <v>7.365609784796992E-2</v>
      </c>
    </row>
    <row r="35" spans="8:9" x14ac:dyDescent="0.45">
      <c r="H35">
        <v>330</v>
      </c>
      <c r="I35">
        <f>(H35^-1) * Sheet1!$B$19 * Sheet1!$B$13 * Sheet1!$B$15</f>
        <v>7.1424094882879929E-2</v>
      </c>
    </row>
    <row r="36" spans="8:9" x14ac:dyDescent="0.45">
      <c r="H36">
        <v>340</v>
      </c>
      <c r="I36">
        <f>(H36^-1) * Sheet1!$B$19 * Sheet1!$B$13 * Sheet1!$B$15</f>
        <v>6.9323386209854038E-2</v>
      </c>
    </row>
    <row r="37" spans="8:9" x14ac:dyDescent="0.45">
      <c r="H37">
        <v>350</v>
      </c>
      <c r="I37">
        <f>(H37^-1) * Sheet1!$B$19 * Sheet1!$B$13 * Sheet1!$B$15</f>
        <v>6.7342718032429638E-2</v>
      </c>
    </row>
    <row r="38" spans="8:9" x14ac:dyDescent="0.45">
      <c r="H38">
        <v>360</v>
      </c>
      <c r="I38">
        <f>(H38^-1) * Sheet1!$B$19 * Sheet1!$B$13 * Sheet1!$B$15</f>
        <v>6.5472086975973259E-2</v>
      </c>
    </row>
    <row r="39" spans="8:9" x14ac:dyDescent="0.45">
      <c r="H39">
        <v>370</v>
      </c>
      <c r="I39">
        <f>(H39^-1) * Sheet1!$B$19 * Sheet1!$B$13 * Sheet1!$B$15</f>
        <v>6.3702571111757769E-2</v>
      </c>
    </row>
    <row r="40" spans="8:9" x14ac:dyDescent="0.45">
      <c r="H40">
        <v>380</v>
      </c>
      <c r="I40">
        <f>(H40^-1) * Sheet1!$B$19 * Sheet1!$B$13 * Sheet1!$B$15</f>
        <v>6.2026187661448351E-2</v>
      </c>
    </row>
    <row r="41" spans="8:9" x14ac:dyDescent="0.45">
      <c r="H41">
        <v>390</v>
      </c>
      <c r="I41">
        <f>(H41^-1) * Sheet1!$B$19 * Sheet1!$B$13 * Sheet1!$B$15</f>
        <v>6.0435772593206087E-2</v>
      </c>
    </row>
    <row r="42" spans="8:9" x14ac:dyDescent="0.45">
      <c r="H42">
        <v>400</v>
      </c>
      <c r="I42">
        <f>(H42^-1) * Sheet1!$B$19 * Sheet1!$B$13 * Sheet1!$B$15</f>
        <v>5.892487827837594E-2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Goforth, Cj</dc:creator>
  <cp:keywords/>
  <dc:description/>
  <cp:lastModifiedBy>Burnett, Matthew</cp:lastModifiedBy>
  <cp:revision/>
  <dcterms:created xsi:type="dcterms:W3CDTF">2024-08-23T14:55:34Z</dcterms:created>
  <dcterms:modified xsi:type="dcterms:W3CDTF">2024-10-06T22:14:57Z</dcterms:modified>
  <cp:category/>
  <cp:contentStatus/>
</cp:coreProperties>
</file>