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02fdf878c58603/Documents/GitHub/Aircraft-Design-USC-Fall24/Assignment 1/"/>
    </mc:Choice>
  </mc:AlternateContent>
  <xr:revisionPtr revIDLastSave="649" documentId="8_{997DC446-395C-45DF-8FB0-9A6B12FE88E2}" xr6:coauthVersionLast="47" xr6:coauthVersionMax="47" xr10:uidLastSave="{CEDF020A-F668-4CE1-BF6F-E4F3CFDC170F}"/>
  <bookViews>
    <workbookView xWindow="-108" yWindow="-108" windowWidth="23256" windowHeight="12456" activeTab="1" xr2:uid="{B9DCB17C-302B-4D14-92AB-4707EE77551C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N3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7" i="2"/>
  <c r="V4" i="2"/>
  <c r="V5" i="2"/>
  <c r="V3" i="2"/>
  <c r="U2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4" i="2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U20" i="2" s="1"/>
  <c r="S21" i="2"/>
  <c r="S22" i="2"/>
  <c r="U22" i="2" s="1"/>
  <c r="S23" i="2"/>
  <c r="U23" i="2" s="1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4" i="2"/>
  <c r="Q16" i="2"/>
  <c r="Q5" i="2"/>
  <c r="Q6" i="2"/>
  <c r="Q8" i="2"/>
  <c r="Q9" i="2"/>
  <c r="Q10" i="2"/>
  <c r="Q11" i="2"/>
  <c r="Q12" i="2"/>
  <c r="Q13" i="2"/>
  <c r="Q15" i="2"/>
  <c r="Q17" i="2"/>
  <c r="Q19" i="2"/>
  <c r="Q4" i="2"/>
  <c r="U4" i="2" s="1"/>
  <c r="B16" i="1"/>
  <c r="A2" i="3"/>
  <c r="A1" i="3"/>
  <c r="N5" i="2"/>
  <c r="N6" i="2"/>
  <c r="N8" i="2"/>
  <c r="N15" i="2"/>
  <c r="N16" i="2"/>
  <c r="N17" i="2"/>
  <c r="N18" i="2"/>
  <c r="N19" i="2"/>
  <c r="L22" i="2"/>
  <c r="L23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50" i="2"/>
</calcChain>
</file>

<file path=xl/sharedStrings.xml><?xml version="1.0" encoding="utf-8"?>
<sst xmlns="http://schemas.openxmlformats.org/spreadsheetml/2006/main" count="260" uniqueCount="222">
  <si>
    <t>Req type</t>
  </si>
  <si>
    <t xml:space="preserve">Value </t>
  </si>
  <si>
    <t>Unit</t>
  </si>
  <si>
    <t xml:space="preserve">Payload </t>
  </si>
  <si>
    <t>kg</t>
  </si>
  <si>
    <t>Range</t>
  </si>
  <si>
    <t>km</t>
  </si>
  <si>
    <t>Cruise Altitude (Max)</t>
  </si>
  <si>
    <t>ft</t>
  </si>
  <si>
    <t>Cruise speed</t>
  </si>
  <si>
    <t>m/s</t>
  </si>
  <si>
    <t>Take off distance</t>
  </si>
  <si>
    <t>Landing Distance</t>
  </si>
  <si>
    <t>Loiter time</t>
  </si>
  <si>
    <t xml:space="preserve">mins </t>
  </si>
  <si>
    <t>Additional Data</t>
  </si>
  <si>
    <t>Uniti</t>
  </si>
  <si>
    <t>Cl max</t>
  </si>
  <si>
    <t>nan</t>
  </si>
  <si>
    <t>Vs</t>
  </si>
  <si>
    <t>roe</t>
  </si>
  <si>
    <t>Sland</t>
  </si>
  <si>
    <t>c</t>
  </si>
  <si>
    <t>d</t>
  </si>
  <si>
    <t xml:space="preserve"> </t>
  </si>
  <si>
    <t>Reference Aircraft List</t>
  </si>
  <si>
    <t>Red highlight means info may be insufficient</t>
  </si>
  <si>
    <t>Aircraft Name</t>
  </si>
  <si>
    <t>Payload</t>
  </si>
  <si>
    <t>range</t>
  </si>
  <si>
    <t>cruise altitude</t>
  </si>
  <si>
    <t>cruise speed</t>
  </si>
  <si>
    <t>type of power plant</t>
  </si>
  <si>
    <t xml:space="preserve">service ceiling </t>
  </si>
  <si>
    <t>endurance</t>
  </si>
  <si>
    <t xml:space="preserve">Max Speed </t>
  </si>
  <si>
    <t>MTOW kg</t>
  </si>
  <si>
    <t>ETOW</t>
  </si>
  <si>
    <t>Take Off length m</t>
  </si>
  <si>
    <t>Stall Speed Landing m/s</t>
  </si>
  <si>
    <t>landing length</t>
  </si>
  <si>
    <t>Power Watts (ALL electric are at 80% efficiency)</t>
  </si>
  <si>
    <t>W/P</t>
  </si>
  <si>
    <t>URL</t>
  </si>
  <si>
    <t xml:space="preserve">Albatross Fixed Wing UAV </t>
  </si>
  <si>
    <t>4.4 kg</t>
  </si>
  <si>
    <t>100 km</t>
  </si>
  <si>
    <t>Lithium Ion electric</t>
  </si>
  <si>
    <t>4hr</t>
  </si>
  <si>
    <t>129km/hr</t>
  </si>
  <si>
    <t>5.5 kg</t>
  </si>
  <si>
    <t>https://www.unmannedsystemstechnology.com/company/applied-aeronautics/</t>
  </si>
  <si>
    <t>SAT-i</t>
  </si>
  <si>
    <t>0.6 kg</t>
  </si>
  <si>
    <t>250 km</t>
  </si>
  <si>
    <t>600 m</t>
  </si>
  <si>
    <t>Electric 400W</t>
  </si>
  <si>
    <t>9000 m</t>
  </si>
  <si>
    <t>2 hours
4 hours optionally with use of solar energy at aoa no greater than 20 deg</t>
  </si>
  <si>
    <t>14 m/s</t>
  </si>
  <si>
    <t>5.2 kg</t>
  </si>
  <si>
    <t>https://www.uavos.com/products/fixed-wing-uavs/sat-i/</t>
  </si>
  <si>
    <t>SITARIA E</t>
  </si>
  <si>
    <t>Payload with full battery:
4 kg
Max payload: 
10 kg</t>
  </si>
  <si>
    <t>240 km</t>
  </si>
  <si>
    <t>Engine type:
Electric (2.5 kW)
Battery capacity:
73.5 Ah (13.8 kg)</t>
  </si>
  <si>
    <t>6000 m</t>
  </si>
  <si>
    <t>Flight time with payload 4 kg: 
3 h
Flight time with payload 10 kg (minus 6 kg of batteries): 
1.5 h</t>
  </si>
  <si>
    <t>140 km/h</t>
  </si>
  <si>
    <t>29 kg</t>
  </si>
  <si>
    <t>https://www.uavos.com/products/fixed-wing-uavs/sitaria-e/</t>
  </si>
  <si>
    <t>BOREY 20</t>
  </si>
  <si>
    <t>4 kg</t>
  </si>
  <si>
    <t>400 km</t>
  </si>
  <si>
    <t>24V, LI-Ion Electric motor 2000W</t>
  </si>
  <si>
    <t>3,500 m</t>
  </si>
  <si>
    <t>5 hours</t>
  </si>
  <si>
    <t>30 m/sec</t>
  </si>
  <si>
    <t>16 kg</t>
  </si>
  <si>
    <t>https://www.uavos.com/products/fixed-wing-uavs/borey-10/</t>
  </si>
  <si>
    <t>Fixed-wing UAV AVEM</t>
  </si>
  <si>
    <t>0.5 kg</t>
  </si>
  <si>
    <t xml:space="preserve">195 km </t>
  </si>
  <si>
    <t>3500 m</t>
  </si>
  <si>
    <t xml:space="preserve">3 hours </t>
  </si>
  <si>
    <t>1.5 kg</t>
  </si>
  <si>
    <t>https://www.directindustry.com/prod/aeromapper/product-182310-1802491.html</t>
  </si>
  <si>
    <t>ScanEagle</t>
  </si>
  <si>
    <t>5 kg</t>
  </si>
  <si>
    <t>Engine: heavy fuel (JP-5 or JP-8)*</t>
  </si>
  <si>
    <t xml:space="preserve">5,950 m </t>
  </si>
  <si>
    <t>18 hours</t>
  </si>
  <si>
    <t>41.2 m/sec</t>
  </si>
  <si>
    <t>17 kg</t>
  </si>
  <si>
    <t>https://www.insitu.com/wp-content/uploads/2020/12/ScanEagle_ProductCard_DU120320.pdf</t>
  </si>
  <si>
    <t>Strix 300</t>
  </si>
  <si>
    <t>electric motor</t>
  </si>
  <si>
    <t xml:space="preserve">5,000 m </t>
  </si>
  <si>
    <t>120 km/h</t>
  </si>
  <si>
    <t>4.5 kg</t>
  </si>
  <si>
    <t>https://www.eos-technologie.com/strix-300/</t>
  </si>
  <si>
    <t>Fixed-wing UAV Bramor mSX</t>
  </si>
  <si>
    <t>integrated</t>
  </si>
  <si>
    <t>150 km</t>
  </si>
  <si>
    <t xml:space="preserve">Brushless Electric and Lithium ion battery </t>
  </si>
  <si>
    <t>3-3.5 hours</t>
  </si>
  <si>
    <t>22 m/s</t>
  </si>
  <si>
    <t>https://pdf.directindustry.com/pdf/c-astral/unamanned-aircraft-systems/182250-945853.html#open2113345</t>
  </si>
  <si>
    <t>Trinity Pro</t>
  </si>
  <si>
    <t>eVTOL</t>
  </si>
  <si>
    <t>5,500 m</t>
  </si>
  <si>
    <t xml:space="preserve">1.5 hours </t>
  </si>
  <si>
    <t>https://quantum-systems.com/trinity-pro/</t>
  </si>
  <si>
    <t>DT26X LIDAR</t>
  </si>
  <si>
    <t>2 kg</t>
  </si>
  <si>
    <t>85 km</t>
  </si>
  <si>
    <t>550m</t>
  </si>
  <si>
    <t xml:space="preserve">
Electric, brushless motors (lithium-polymer)</t>
  </si>
  <si>
    <t>4000 m</t>
  </si>
  <si>
    <t>2.5 hours</t>
  </si>
  <si>
    <t>110 km/h</t>
  </si>
  <si>
    <t>https://geo-matching.com/products/dt26x-lidar https://www.directindustry.com/prod/delair/product-108459-1800225.html</t>
  </si>
  <si>
    <t>C-Astral Bramor sAR</t>
  </si>
  <si>
    <t>1 kg</t>
  </si>
  <si>
    <t>180 km</t>
  </si>
  <si>
    <t xml:space="preserve">brushless electric motor powered by lithium ion battery pack </t>
  </si>
  <si>
    <t>5000m</t>
  </si>
  <si>
    <t>83 km/h</t>
  </si>
  <si>
    <t>3.5 kg</t>
  </si>
  <si>
    <t>https://geo-matching.com/products/c-astral-bramor-sar</t>
  </si>
  <si>
    <t>VT-NAUT</t>
  </si>
  <si>
    <t>30 km</t>
  </si>
  <si>
    <t>400 ft</t>
  </si>
  <si>
    <t>85 km/h</t>
  </si>
  <si>
    <t>3.2 kg</t>
  </si>
  <si>
    <t>https://aeromao.com/products/vtnaut/</t>
  </si>
  <si>
    <t>Penguin-C</t>
  </si>
  <si>
    <t>23 kg</t>
  </si>
  <si>
    <t>100km</t>
  </si>
  <si>
    <t>28 cc EFI engine,100w onboard generator</t>
  </si>
  <si>
    <t>20 hours</t>
  </si>
  <si>
    <t>32 m/s</t>
  </si>
  <si>
    <t>18 kg</t>
  </si>
  <si>
    <t>https://www.aeroexpo.online/prod/uav-factory-ltd-europe/product-174156-793.html</t>
  </si>
  <si>
    <t>Outlaw G2</t>
  </si>
  <si>
    <t>40-60 lbs</t>
  </si>
  <si>
    <t>60 nm</t>
  </si>
  <si>
    <t>150 or 170 cc 2-cylinder, 2 stroke</t>
  </si>
  <si>
    <t>16000ft</t>
  </si>
  <si>
    <t>8+ hours</t>
  </si>
  <si>
    <t>126 KTAS</t>
  </si>
  <si>
    <t xml:space="preserve"> 74.84 kg</t>
  </si>
  <si>
    <t>https://www.griffonaerospace.com/products/outlaw-g2/</t>
  </si>
  <si>
    <t>PD-1 UAS</t>
  </si>
  <si>
    <t>7 kg</t>
  </si>
  <si>
    <t>80 km</t>
  </si>
  <si>
    <t>4-stroke</t>
  </si>
  <si>
    <t>3000m</t>
  </si>
  <si>
    <t>10 hours</t>
  </si>
  <si>
    <t>38 kg</t>
  </si>
  <si>
    <t>chrome-extension://efaidnbmnnnibpcajpcglclefindmkaj/https://www.unmannedsystemstechnology.com/wp-content/uploads/2016/06/PD-1-Fixed-Wing-UAV.pdf</t>
  </si>
  <si>
    <t>Bramore C4 Eye</t>
  </si>
  <si>
    <t>210 km</t>
  </si>
  <si>
    <t>Brushless electric</t>
  </si>
  <si>
    <t>3.5 hours</t>
  </si>
  <si>
    <t>3.7 kg</t>
  </si>
  <si>
    <t>https://www.c-astral.com/en/unmanned-systems/bramor-c4eye</t>
  </si>
  <si>
    <t>SR3</t>
  </si>
  <si>
    <t>3 kg</t>
  </si>
  <si>
    <t>1300 km</t>
  </si>
  <si>
    <t>160km/h</t>
  </si>
  <si>
    <t>27 kg</t>
  </si>
  <si>
    <t>https://www.satuav.com/glider-drone-runway-drone/long-endurance-fixed-wing-drone.html</t>
  </si>
  <si>
    <t>Talon GT Ready To Fly Drone</t>
  </si>
  <si>
    <t>0.3 kg</t>
  </si>
  <si>
    <t>15 km</t>
  </si>
  <si>
    <t>7,000 mAh 4S Li-Ion Custom Battery</t>
  </si>
  <si>
    <t>45 min</t>
  </si>
  <si>
    <t>100km/h</t>
  </si>
  <si>
    <t>0.8 kg</t>
  </si>
  <si>
    <t>https://uavsystemsinternational.com/products/talon-gt-drone</t>
  </si>
  <si>
    <t>Skywalker Ready To Fly Drone v2.2</t>
  </si>
  <si>
    <t>20 km</t>
  </si>
  <si>
    <t>2x 5,000 mAh
Li-Ion</t>
  </si>
  <si>
    <t>59 min</t>
  </si>
  <si>
    <t>90 km/h</t>
  </si>
  <si>
    <t>https://uavsystemsinternational.com/products/skywalker-drone</t>
  </si>
  <si>
    <t>Altavian</t>
  </si>
  <si>
    <t>3.7 lbs</t>
  </si>
  <si>
    <t>10,000 ft</t>
  </si>
  <si>
    <t>58 kts</t>
  </si>
  <si>
    <t>6.1461766 kg</t>
  </si>
  <si>
    <t>https://www.ua-sp.com/altavian</t>
  </si>
  <si>
    <t>Integrator</t>
  </si>
  <si>
    <t>92.6 km</t>
  </si>
  <si>
    <t>V3 engine, EFI using JP-5/JP-8 fuel</t>
  </si>
  <si>
    <t>5944m</t>
  </si>
  <si>
    <t>24 hours</t>
  </si>
  <si>
    <t>46 m/s</t>
  </si>
  <si>
    <t>56.84 kg</t>
  </si>
  <si>
    <t>https://www.insitu.com/products/integrator</t>
  </si>
  <si>
    <t>Design Specs:</t>
  </si>
  <si>
    <t>400ft</t>
  </si>
  <si>
    <t>10m/s</t>
  </si>
  <si>
    <t>Electric engine powered by lipo</t>
  </si>
  <si>
    <t>3 hours</t>
  </si>
  <si>
    <t>15m/s</t>
  </si>
  <si>
    <t>Design Specs Magnified:</t>
  </si>
  <si>
    <t>sensor suite:</t>
  </si>
  <si>
    <t>6x6x10</t>
  </si>
  <si>
    <t>Payload Analysis:</t>
  </si>
  <si>
    <t>MTOW vs ETOW</t>
  </si>
  <si>
    <t>W/Sx stall landing and stall clean</t>
  </si>
  <si>
    <t>W/s to</t>
  </si>
  <si>
    <t>W/S Clean</t>
  </si>
  <si>
    <t>W/S Takeoff</t>
  </si>
  <si>
    <t>W/S landing</t>
  </si>
  <si>
    <t>w/s</t>
  </si>
  <si>
    <t>w/p</t>
  </si>
  <si>
    <t>TOP prop</t>
  </si>
  <si>
    <t>TOP</t>
  </si>
  <si>
    <t>Take off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</si>
</sst>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arlow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Calibri"/>
      <family val="2"/>
      <scheme val="minor"/>
    </font>
    <font>
      <sz val="18"/>
      <color rgb="FF1F1F1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/>
    </xf>
    <xf numFmtId="0" fontId="5" fillId="2" borderId="3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4" fillId="2" borderId="0" xfId="2" applyFont="1" applyFill="1" applyAlignment="1">
      <alignment horizontal="left"/>
    </xf>
    <xf numFmtId="0" fontId="8" fillId="0" borderId="0" xfId="0" applyFont="1"/>
  </cellXfs>
  <cellStyles count="3">
    <cellStyle name="Hyperlink" xfId="1" builtinId="8"/>
    <cellStyle name="Normal" xfId="0" builtinId="0"/>
    <cellStyle name="Normal 2" xfId="2" xr:uid="{C98E6F8B-5B96-47B5-ACD8-4818478E9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Aircraft empty weight as a function of take-off weight for UAVs [N]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24125109361331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Sheet2!$D$50:$D$68</c:f>
              <c:numCache>
                <c:formatCode>General</c:formatCode>
                <c:ptCount val="19"/>
                <c:pt idx="0">
                  <c:v>98.100000000000009</c:v>
                </c:pt>
                <c:pt idx="1">
                  <c:v>56.898000000000003</c:v>
                </c:pt>
                <c:pt idx="2">
                  <c:v>382.59000000000003</c:v>
                </c:pt>
                <c:pt idx="3">
                  <c:v>196.20000000000002</c:v>
                </c:pt>
                <c:pt idx="4">
                  <c:v>19.62</c:v>
                </c:pt>
                <c:pt idx="5">
                  <c:v>215.82000000000002</c:v>
                </c:pt>
                <c:pt idx="6">
                  <c:v>49.050000000000004</c:v>
                </c:pt>
                <c:pt idx="7">
                  <c:v>176.58</c:v>
                </c:pt>
                <c:pt idx="8">
                  <c:v>44.145000000000003</c:v>
                </c:pt>
                <c:pt idx="9">
                  <c:v>36.297000000000004</c:v>
                </c:pt>
                <c:pt idx="10">
                  <c:v>402.21000000000004</c:v>
                </c:pt>
                <c:pt idx="11">
                  <c:v>1010.9989800000001</c:v>
                </c:pt>
                <c:pt idx="12">
                  <c:v>441.45000000000005</c:v>
                </c:pt>
                <c:pt idx="13">
                  <c:v>46.107000000000006</c:v>
                </c:pt>
                <c:pt idx="14">
                  <c:v>294.3</c:v>
                </c:pt>
                <c:pt idx="15">
                  <c:v>10.791000000000002</c:v>
                </c:pt>
                <c:pt idx="16">
                  <c:v>24.525000000000002</c:v>
                </c:pt>
                <c:pt idx="17">
                  <c:v>76.714200000000005</c:v>
                </c:pt>
                <c:pt idx="18">
                  <c:v>734.18040000000008</c:v>
                </c:pt>
              </c:numCache>
            </c:numRef>
          </c:xVal>
          <c:yVal>
            <c:numRef>
              <c:f>Sheet2!$E$50:$E$68</c:f>
              <c:numCache>
                <c:formatCode>General</c:formatCode>
                <c:ptCount val="19"/>
                <c:pt idx="0">
                  <c:v>53.955000000000005</c:v>
                </c:pt>
                <c:pt idx="1">
                  <c:v>51.012000000000008</c:v>
                </c:pt>
                <c:pt idx="2">
                  <c:v>284.49</c:v>
                </c:pt>
                <c:pt idx="3">
                  <c:v>156.96</c:v>
                </c:pt>
                <c:pt idx="4">
                  <c:v>14.715</c:v>
                </c:pt>
                <c:pt idx="5">
                  <c:v>166.77</c:v>
                </c:pt>
                <c:pt idx="6">
                  <c:v>44.145000000000003</c:v>
                </c:pt>
                <c:pt idx="7">
                  <c:v>156.96</c:v>
                </c:pt>
                <c:pt idx="8">
                  <c:v>34.335000000000001</c:v>
                </c:pt>
                <c:pt idx="9">
                  <c:v>31.392000000000003</c:v>
                </c:pt>
                <c:pt idx="10">
                  <c:v>176.58</c:v>
                </c:pt>
                <c:pt idx="11">
                  <c:v>734.18040000000008</c:v>
                </c:pt>
                <c:pt idx="12">
                  <c:v>372.78000000000003</c:v>
                </c:pt>
                <c:pt idx="13">
                  <c:v>36.297000000000004</c:v>
                </c:pt>
                <c:pt idx="14">
                  <c:v>264.87</c:v>
                </c:pt>
                <c:pt idx="15">
                  <c:v>7.8480000000000008</c:v>
                </c:pt>
                <c:pt idx="16">
                  <c:v>19.62</c:v>
                </c:pt>
                <c:pt idx="17">
                  <c:v>60.293992446000004</c:v>
                </c:pt>
                <c:pt idx="18">
                  <c:v>557.60040000000004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B01-8C5A-FDEB1B2C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4223"/>
        <c:axId val="112121343"/>
      </c:scatterChart>
      <c:valAx>
        <c:axId val="1121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takeoff</a:t>
                </a:r>
                <a:r>
                  <a:rPr lang="en-US" baseline="0"/>
                  <a:t> weight [N}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343"/>
        <c:crosses val="autoZero"/>
        <c:crossBetween val="midCat"/>
      </c:valAx>
      <c:valAx>
        <c:axId val="112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Empty</a:t>
                </a:r>
                <a:r>
                  <a:rPr lang="en-US" baseline="0"/>
                  <a:t> takeoff weight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Sheet2!$W$50</c:f>
              <c:strCache>
                <c:ptCount val="1"/>
                <c:pt idx="0">
                  <c:v>landing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Sheet2!$V$51:$V$59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8.3429752067621159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</c:numCache>
            </c:numRef>
          </c:xVal>
          <c:yVal>
            <c:numRef>
              <c:f>Sheet2!$W$51:$W$59</c:f>
              <c:numCache>
                <c:formatCode>General</c:formatCode>
                <c:ptCount val="9"/>
                <c:pt idx="0">
                  <c:v>200</c:v>
                </c:pt>
                <c:pt idx="1">
                  <c:v>192.81895928750001</c:v>
                </c:pt>
                <c:pt idx="2">
                  <c:v>133.08750000000001</c:v>
                </c:pt>
                <c:pt idx="3">
                  <c:v>251.00894000000005</c:v>
                </c:pt>
                <c:pt idx="4">
                  <c:v>50</c:v>
                </c:pt>
                <c:pt idx="5">
                  <c:v>99.96350000000001</c:v>
                </c:pt>
                <c:pt idx="6">
                  <c:v>532.35</c:v>
                </c:pt>
                <c:pt idx="7">
                  <c:v>114.10126280871501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F-44B3-8DC9-89E706B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984"/>
        <c:axId val="16982024"/>
      </c:scatterChart>
      <c:valAx>
        <c:axId val="167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24"/>
        <c:crosses val="autoZero"/>
        <c:crossBetween val="midCat"/>
      </c:valAx>
      <c:valAx>
        <c:axId val="169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prop vs</a:t>
            </a:r>
            <a:r>
              <a:rPr lang="en-US" baseline="0"/>
              <a:t> W/P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Sheet2!$S$35</c:f>
              <c:strCache>
                <c:ptCount val="1"/>
                <c:pt idx="0">
                  <c:v>TOP 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Sheet2!$R$36:$R$44</c:f>
              <c:numCache>
                <c:formatCode>General</c:formatCode>
                <c:ptCount val="9"/>
                <c:pt idx="0">
                  <c:v>0.17780625</c:v>
                </c:pt>
                <c:pt idx="1">
                  <c:v>0.19129500000000002</c:v>
                </c:pt>
                <c:pt idx="2">
                  <c:v>9.0833333333333335E-2</c:v>
                </c:pt>
                <c:pt idx="3">
                  <c:v>2.4087053571428575E-2</c:v>
                </c:pt>
                <c:pt idx="4">
                  <c:v>0.20437500000000003</c:v>
                </c:pt>
                <c:pt idx="5">
                  <c:v>2.4079125079024506E-2</c:v>
                </c:pt>
                <c:pt idx="6">
                  <c:v>0.10029751785714286</c:v>
                </c:pt>
                <c:pt idx="7">
                  <c:v>0.15010200612036723</c:v>
                </c:pt>
                <c:pt idx="8">
                  <c:v>1.0524341428517532</c:v>
                </c:pt>
              </c:numCache>
            </c:numRef>
          </c:xVal>
          <c:yVal>
            <c:numRef>
              <c:f>Sheet2!$S$36:$S$44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2.3731129477012245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  <c:pt idx="8">
                  <c:v>140.04999492651837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2-4F01-ADDD-CDD873E6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78607"/>
        <c:axId val="1328782447"/>
      </c:scatterChart>
      <c:valAx>
        <c:axId val="13287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W/P</a:t>
                </a:r>
                <a:r>
                  <a:rPr lang="en-US" baseline="0"/>
                  <a:t> Ref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2447"/>
        <c:crosses val="autoZero"/>
        <c:crossBetween val="midCat"/>
      </c:valAx>
      <c:valAx>
        <c:axId val="13287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Prop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W/S</a:t>
            </a:r>
            <a:r>
              <a:rPr lang="en-US" baseline="0"/>
              <a:t> vs W/P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Sheet2!$R$46</c:f>
              <c:strCache>
                <c:ptCount val="1"/>
                <c:pt idx="0">
                  <c:v>w/p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Sheet2!$Q$47:$Q$55</c:f>
              <c:numCache>
                <c:formatCode>General</c:formatCode>
                <c:ptCount val="9"/>
                <c:pt idx="0">
                  <c:v>11.76</c:v>
                </c:pt>
                <c:pt idx="1">
                  <c:v>239.59752337499998</c:v>
                </c:pt>
                <c:pt idx="2">
                  <c:v>47.04</c:v>
                </c:pt>
                <c:pt idx="3">
                  <c:v>311.90460000000007</c:v>
                </c:pt>
                <c:pt idx="4">
                  <c:v>81.894208149600004</c:v>
                </c:pt>
                <c:pt idx="5">
                  <c:v>124.215</c:v>
                </c:pt>
                <c:pt idx="6">
                  <c:v>661.5</c:v>
                </c:pt>
                <c:pt idx="7">
                  <c:v>141.78263425935</c:v>
                </c:pt>
                <c:pt idx="8">
                  <c:v>239.59752337499998</c:v>
                </c:pt>
              </c:numCache>
            </c:numRef>
          </c:xVal>
          <c:yVal>
            <c:numRef>
              <c:f>Sheet2!$R$47:$R$55</c:f>
              <c:numCache>
                <c:formatCode>General</c:formatCode>
                <c:ptCount val="9"/>
                <c:pt idx="0">
                  <c:v>0.17780625</c:v>
                </c:pt>
                <c:pt idx="1">
                  <c:v>0.19129500000000002</c:v>
                </c:pt>
                <c:pt idx="2">
                  <c:v>9.0833333333333335E-2</c:v>
                </c:pt>
                <c:pt idx="3">
                  <c:v>2.4087053571428575E-2</c:v>
                </c:pt>
                <c:pt idx="4">
                  <c:v>0.20437500000000003</c:v>
                </c:pt>
                <c:pt idx="5">
                  <c:v>2.4079125079024506E-2</c:v>
                </c:pt>
                <c:pt idx="6">
                  <c:v>0.10029751785714286</c:v>
                </c:pt>
                <c:pt idx="7">
                  <c:v>0.15010200612036723</c:v>
                </c:pt>
                <c:pt idx="8">
                  <c:v>1.0524341428517532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9-4FB4-932E-53BA9EA3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89167"/>
        <c:axId val="1328789647"/>
      </c:scatterChart>
      <c:valAx>
        <c:axId val="13287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9647"/>
        <c:crosses val="autoZero"/>
        <c:crossBetween val="midCat"/>
      </c:valAx>
      <c:valAx>
        <c:axId val="13287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vs Take off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Sheet2!$V$36:$V$44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2.3731129477012245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  <c:pt idx="8">
                  <c:v>140.04999492651837</c:v>
                </c:pt>
              </c:numCache>
            </c:numRef>
          </c:xVal>
          <c:yVal>
            <c:numRef>
              <c:f>Sheet2!$W$36:$W$44</c:f>
              <c:numCache>
                <c:formatCode>General</c:formatCode>
                <c:ptCount val="9"/>
                <c:pt idx="0">
                  <c:v>240</c:v>
                </c:pt>
                <c:pt idx="1">
                  <c:v>231.38275114499999</c:v>
                </c:pt>
                <c:pt idx="2">
                  <c:v>45.427199999999999</c:v>
                </c:pt>
                <c:pt idx="3">
                  <c:v>301.21072800000007</c:v>
                </c:pt>
                <c:pt idx="4">
                  <c:v>60</c:v>
                </c:pt>
                <c:pt idx="5">
                  <c:v>119.95620000000001</c:v>
                </c:pt>
                <c:pt idx="6">
                  <c:v>638.82000000000005</c:v>
                </c:pt>
                <c:pt idx="7">
                  <c:v>136.921515370458</c:v>
                </c:pt>
                <c:pt idx="8">
                  <c:v>231.38275114499999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4B4C-A64D-D880B636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70927"/>
        <c:axId val="1328770447"/>
      </c:scatterChart>
      <c:valAx>
        <c:axId val="13287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</a:t>
                </a:r>
                <a:r>
                  <a:rPr lang="en-US" baseline="0"/>
                  <a:t> off parameter [N/m^2]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0447"/>
        <c:crosses val="autoZero"/>
        <c:crossBetween val="midCat"/>
      </c:valAx>
      <c:valAx>
        <c:axId val="13287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 off length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50</xdr:row>
      <xdr:rowOff>26894</xdr:rowOff>
    </xdr:from>
    <xdr:to>
      <xdr:col>11</xdr:col>
      <xdr:colOff>40341</xdr:colOff>
      <xdr:row>65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E309-B6D9-AD1E-C221-6EECC998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46</xdr:row>
      <xdr:rowOff>123825</xdr:rowOff>
    </xdr:from>
    <xdr:to>
      <xdr:col>32</xdr:col>
      <xdr:colOff>161925</xdr:colOff>
      <xdr:row>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CB824D-AE96-52BA-444D-566B9B9C415B}"/>
            </a:ext>
            <a:ext uri="{147F2762-F138-4A5C-976F-8EAC2B608ADB}">
              <a16:predDERef xmlns:a16="http://schemas.microsoft.com/office/drawing/2014/main" pred="{E3A84C33-016F-FC55-F98D-57A78519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578224</xdr:colOff>
      <xdr:row>42</xdr:row>
      <xdr:rowOff>170330</xdr:rowOff>
    </xdr:from>
    <xdr:to>
      <xdr:col>14</xdr:col>
      <xdr:colOff>4540624</xdr:colOff>
      <xdr:row>58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B51A1A-DFDB-3BAB-59C4-53CF05ED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</xdr:colOff>
      <xdr:row>59</xdr:row>
      <xdr:rowOff>35859</xdr:rowOff>
    </xdr:from>
    <xdr:to>
      <xdr:col>14</xdr:col>
      <xdr:colOff>4675094</xdr:colOff>
      <xdr:row>74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160B4-22AE-BA6B-C2F0-F3E4DDE2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94129</xdr:colOff>
      <xdr:row>24</xdr:row>
      <xdr:rowOff>89648</xdr:rowOff>
    </xdr:from>
    <xdr:to>
      <xdr:col>14</xdr:col>
      <xdr:colOff>4666129</xdr:colOff>
      <xdr:row>39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4760F9-D986-2D4E-239B-26EC81DF3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8F96A-26B1-44CC-B14C-F9F2C07F1CCD}" name="Table1" displayName="Table1" ref="W50:W59" totalsRowShown="0">
  <autoFilter ref="W50:W59" xr:uid="{6018F96A-26B1-44CC-B14C-F9F2C07F1CCD}"/>
  <tableColumns count="1">
    <tableColumn id="1" xr3:uid="{5C20ECE2-94C5-4ECD-8D1B-1853934BAE37}" name="landing l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df.directindustry.com/pdf/c-astral/unamanned-aircraft-systems/182250-945853.html" TargetMode="External"/><Relationship Id="rId13" Type="http://schemas.openxmlformats.org/officeDocument/2006/relationships/hyperlink" Target="https://www.aeroexpo.online/prod/uav-factory-ltd-europe/product-174156-793.html" TargetMode="External"/><Relationship Id="rId18" Type="http://schemas.openxmlformats.org/officeDocument/2006/relationships/hyperlink" Target="https://uavsystemsinternational.com/products/skywalker-drone" TargetMode="External"/><Relationship Id="rId3" Type="http://schemas.openxmlformats.org/officeDocument/2006/relationships/hyperlink" Target="https://www.uavos.com/products/fixed-wing-uavs/sitaria-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os-technologie.com/strix-300/" TargetMode="External"/><Relationship Id="rId12" Type="http://schemas.openxmlformats.org/officeDocument/2006/relationships/hyperlink" Target="https://aeromao.com/products/vtnaut/" TargetMode="External"/><Relationship Id="rId17" Type="http://schemas.openxmlformats.org/officeDocument/2006/relationships/hyperlink" Target="https://uavsystemsinternational.com/products/talon-gt-drone" TargetMode="External"/><Relationship Id="rId2" Type="http://schemas.openxmlformats.org/officeDocument/2006/relationships/hyperlink" Target="https://www.uavos.com/products/fixed-wing-uavs/sat-i/" TargetMode="External"/><Relationship Id="rId16" Type="http://schemas.openxmlformats.org/officeDocument/2006/relationships/hyperlink" Target="https://www.satuav.com/glider-drone-runway-drone/long-endurance-fixed-wing-drone.html" TargetMode="External"/><Relationship Id="rId20" Type="http://schemas.openxmlformats.org/officeDocument/2006/relationships/hyperlink" Target="https://www.insitu.com/products/integrator" TargetMode="External"/><Relationship Id="rId1" Type="http://schemas.openxmlformats.org/officeDocument/2006/relationships/hyperlink" Target="https://www.unmannedsystemstechnology.com/company/applied-aeronautics/" TargetMode="External"/><Relationship Id="rId6" Type="http://schemas.openxmlformats.org/officeDocument/2006/relationships/hyperlink" Target="https://www.directindustry.com/prod/aeromapper/product-182310-1802491.html" TargetMode="External"/><Relationship Id="rId11" Type="http://schemas.openxmlformats.org/officeDocument/2006/relationships/hyperlink" Target="https://geo-matching.com/products/c-astral-bramor-sar" TargetMode="External"/><Relationship Id="rId5" Type="http://schemas.openxmlformats.org/officeDocument/2006/relationships/hyperlink" Target="https://www.insitu.com/wp-content/uploads/2020/12/ScanEagle_ProductCard_DU120320.pdf" TargetMode="External"/><Relationship Id="rId15" Type="http://schemas.openxmlformats.org/officeDocument/2006/relationships/hyperlink" Target="https://www.c-astral.com/en/unmanned-systems/bramor-c4eye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geo-matching.com/products/dt26x-lidar" TargetMode="External"/><Relationship Id="rId19" Type="http://schemas.openxmlformats.org/officeDocument/2006/relationships/hyperlink" Target="https://www.ua-sp.com/altavian" TargetMode="External"/><Relationship Id="rId4" Type="http://schemas.openxmlformats.org/officeDocument/2006/relationships/hyperlink" Target="https://www.uavos.com/products/fixed-wing-uavs/borey-10/" TargetMode="External"/><Relationship Id="rId9" Type="http://schemas.openxmlformats.org/officeDocument/2006/relationships/hyperlink" Target="https://quantum-systems.com/trinity-pro/" TargetMode="External"/><Relationship Id="rId14" Type="http://schemas.openxmlformats.org/officeDocument/2006/relationships/hyperlink" Target="https://www.griffonaerospace.com/products/outlaw-g2/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063-CE08-47CE-8F03-2A8B7FB2E8FC}">
  <dimension ref="A1:C18"/>
  <sheetViews>
    <sheetView workbookViewId="0">
      <selection activeCell="B18" sqref="B18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20</v>
      </c>
      <c r="C3" t="s">
        <v>6</v>
      </c>
    </row>
    <row r="4" spans="1:3" x14ac:dyDescent="0.3">
      <c r="A4" t="s">
        <v>7</v>
      </c>
      <c r="B4">
        <v>400</v>
      </c>
      <c r="C4" t="s">
        <v>8</v>
      </c>
    </row>
    <row r="5" spans="1:3" x14ac:dyDescent="0.3">
      <c r="A5" t="s">
        <v>9</v>
      </c>
      <c r="B5">
        <v>10</v>
      </c>
      <c r="C5" t="s">
        <v>10</v>
      </c>
    </row>
    <row r="6" spans="1:3" x14ac:dyDescent="0.3">
      <c r="A6" t="s">
        <v>11</v>
      </c>
    </row>
    <row r="7" spans="1:3" x14ac:dyDescent="0.3">
      <c r="A7" t="s">
        <v>12</v>
      </c>
    </row>
    <row r="8" spans="1:3" x14ac:dyDescent="0.3">
      <c r="A8" t="s">
        <v>13</v>
      </c>
      <c r="B8">
        <v>30</v>
      </c>
      <c r="C8" t="s">
        <v>14</v>
      </c>
    </row>
    <row r="12" spans="1:3" x14ac:dyDescent="0.3">
      <c r="A12" t="s">
        <v>15</v>
      </c>
      <c r="B12" t="s">
        <v>1</v>
      </c>
      <c r="C12" t="s">
        <v>16</v>
      </c>
    </row>
    <row r="13" spans="1:3" x14ac:dyDescent="0.3">
      <c r="A13" t="s">
        <v>17</v>
      </c>
      <c r="B13">
        <v>1.8</v>
      </c>
      <c r="C13" t="s">
        <v>18</v>
      </c>
    </row>
    <row r="14" spans="1:3" x14ac:dyDescent="0.3">
      <c r="A14" t="s">
        <v>19</v>
      </c>
      <c r="B14">
        <v>18</v>
      </c>
    </row>
    <row r="15" spans="1:3" x14ac:dyDescent="0.3">
      <c r="A15" t="s">
        <v>20</v>
      </c>
      <c r="B15">
        <v>1.2250000000000001</v>
      </c>
    </row>
    <row r="16" spans="1:3" x14ac:dyDescent="0.3">
      <c r="A16" t="s">
        <v>21</v>
      </c>
      <c r="B16">
        <f>0.5915*B14^2</f>
        <v>191.64600000000002</v>
      </c>
    </row>
    <row r="17" spans="1:2" x14ac:dyDescent="0.3">
      <c r="A17" t="s">
        <v>22</v>
      </c>
      <c r="B17">
        <v>1.2362</v>
      </c>
    </row>
    <row r="18" spans="1:2" x14ac:dyDescent="0.3">
      <c r="A18" t="s">
        <v>23</v>
      </c>
      <c r="B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C8A-662B-400E-8D06-D9245C758624}">
  <dimension ref="A1:X68"/>
  <sheetViews>
    <sheetView tabSelected="1" topLeftCell="K20" zoomScale="106" zoomScaleNormal="85" workbookViewId="0">
      <selection activeCell="O19" sqref="O19"/>
    </sheetView>
  </sheetViews>
  <sheetFormatPr defaultRowHeight="14.4" x14ac:dyDescent="0.3"/>
  <cols>
    <col min="1" max="1" width="37.109375" customWidth="1"/>
    <col min="2" max="2" width="12" customWidth="1"/>
    <col min="3" max="3" width="13" customWidth="1"/>
    <col min="4" max="4" width="13.33203125" customWidth="1"/>
    <col min="5" max="5" width="15.33203125" customWidth="1"/>
    <col min="6" max="6" width="17.44140625" customWidth="1"/>
    <col min="7" max="7" width="14.88671875" customWidth="1"/>
    <col min="8" max="8" width="12.88671875" customWidth="1"/>
    <col min="9" max="9" width="15.33203125" customWidth="1"/>
    <col min="15" max="15" width="72.5546875" customWidth="1"/>
    <col min="23" max="23" width="16" bestFit="1" customWidth="1"/>
  </cols>
  <sheetData>
    <row r="1" spans="1:24" ht="15" thickBot="1" x14ac:dyDescent="0.35">
      <c r="A1" t="s">
        <v>25</v>
      </c>
      <c r="C1" t="s">
        <v>26</v>
      </c>
    </row>
    <row r="2" spans="1:24" ht="51" customHeight="1" thickBot="1" x14ac:dyDescent="0.35">
      <c r="A2" s="5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4" t="s">
        <v>34</v>
      </c>
      <c r="I2" s="4" t="s">
        <v>35</v>
      </c>
      <c r="J2" s="4" t="s">
        <v>36</v>
      </c>
      <c r="K2" s="9" t="s">
        <v>37</v>
      </c>
      <c r="L2" s="9" t="s">
        <v>38</v>
      </c>
      <c r="M2" s="9" t="s">
        <v>39</v>
      </c>
      <c r="N2" t="s">
        <v>40</v>
      </c>
      <c r="O2" s="9" t="s">
        <v>41</v>
      </c>
      <c r="P2" s="9"/>
      <c r="Q2" s="9" t="s">
        <v>42</v>
      </c>
      <c r="R2" s="9" t="s">
        <v>214</v>
      </c>
      <c r="S2" s="9" t="s">
        <v>215</v>
      </c>
      <c r="T2" s="9" t="s">
        <v>216</v>
      </c>
      <c r="U2" t="s">
        <v>220</v>
      </c>
      <c r="V2" s="9" t="s">
        <v>221</v>
      </c>
    </row>
    <row r="3" spans="1:24" x14ac:dyDescent="0.3">
      <c r="A3" t="s">
        <v>44</v>
      </c>
      <c r="B3" t="s">
        <v>45</v>
      </c>
      <c r="C3" t="s">
        <v>46</v>
      </c>
      <c r="E3">
        <v>18.8</v>
      </c>
      <c r="F3" t="s">
        <v>47</v>
      </c>
      <c r="H3" t="s">
        <v>48</v>
      </c>
      <c r="I3" t="s">
        <v>49</v>
      </c>
      <c r="J3">
        <v>10</v>
      </c>
      <c r="K3" t="s">
        <v>50</v>
      </c>
      <c r="L3">
        <f>1.2*N3</f>
        <v>70.98</v>
      </c>
      <c r="M3">
        <v>10</v>
      </c>
      <c r="N3">
        <f>0.5915*M3^2</f>
        <v>59.150000000000006</v>
      </c>
      <c r="P3" s="1"/>
      <c r="V3">
        <f>(M3*1.5)</f>
        <v>15</v>
      </c>
      <c r="X3" t="s">
        <v>43</v>
      </c>
    </row>
    <row r="4" spans="1:24" ht="114" customHeight="1" x14ac:dyDescent="0.4">
      <c r="A4" t="s">
        <v>52</v>
      </c>
      <c r="B4" t="s">
        <v>53</v>
      </c>
      <c r="C4" t="s">
        <v>54</v>
      </c>
      <c r="D4" s="6" t="s">
        <v>55</v>
      </c>
      <c r="E4" s="7">
        <v>8</v>
      </c>
      <c r="F4" s="8" t="s">
        <v>56</v>
      </c>
      <c r="G4" t="s">
        <v>57</v>
      </c>
      <c r="H4" s="7" t="s">
        <v>58</v>
      </c>
      <c r="I4" s="7" t="s">
        <v>59</v>
      </c>
      <c r="J4" s="7">
        <v>5.8</v>
      </c>
      <c r="K4" s="7" t="s">
        <v>60</v>
      </c>
      <c r="L4">
        <f t="shared" ref="L4:L21" si="0">1.2*N4</f>
        <v>240</v>
      </c>
      <c r="M4" s="7">
        <v>4</v>
      </c>
      <c r="N4">
        <v>200</v>
      </c>
      <c r="O4">
        <v>320</v>
      </c>
      <c r="P4" s="1"/>
      <c r="Q4">
        <f>(J4*9.81)/O4</f>
        <v>0.17780625</v>
      </c>
      <c r="R4">
        <f>0.5*1.225*1.2*(M4)^2</f>
        <v>11.76</v>
      </c>
      <c r="S4">
        <f>0.5*1.225*2*(M4*0.77448819)^2</f>
        <v>11.756706346409734</v>
      </c>
      <c r="T4">
        <f>0.5*1.225*2.1*(M4*0.75582677)^2</f>
        <v>11.756821106596865</v>
      </c>
      <c r="U4">
        <f>S4*Q4*(1/Sheet1!$B$13)</f>
        <v>1.1613421487812867</v>
      </c>
      <c r="V4">
        <f t="shared" ref="V4:V5" si="1">(M4*1.5)</f>
        <v>6</v>
      </c>
      <c r="X4" s="1" t="s">
        <v>51</v>
      </c>
    </row>
    <row r="5" spans="1:24" ht="157.94999999999999" customHeight="1" x14ac:dyDescent="0.3">
      <c r="A5" s="2" t="s">
        <v>62</v>
      </c>
      <c r="B5" s="7" t="s">
        <v>63</v>
      </c>
      <c r="C5" t="s">
        <v>64</v>
      </c>
      <c r="E5">
        <v>22.2</v>
      </c>
      <c r="F5" s="7" t="s">
        <v>65</v>
      </c>
      <c r="G5" t="s">
        <v>66</v>
      </c>
      <c r="H5" s="7" t="s">
        <v>67</v>
      </c>
      <c r="I5" t="s">
        <v>68</v>
      </c>
      <c r="J5">
        <v>39</v>
      </c>
      <c r="K5" t="s">
        <v>69</v>
      </c>
      <c r="L5">
        <f t="shared" si="0"/>
        <v>231.38275114499999</v>
      </c>
      <c r="M5">
        <v>18.055</v>
      </c>
      <c r="N5">
        <f>0.5915*M5^2</f>
        <v>192.81895928750001</v>
      </c>
      <c r="O5">
        <v>2000</v>
      </c>
      <c r="P5" s="1"/>
      <c r="Q5">
        <f>(J5*9.81)/O5</f>
        <v>0.19129500000000002</v>
      </c>
      <c r="R5">
        <f t="shared" ref="R5:R23" si="2">0.5*1.225*1.2*(M5)^2</f>
        <v>239.59752337499998</v>
      </c>
      <c r="S5">
        <f t="shared" ref="S5:S23" si="3">0.5*1.225*2*(M5*0.77448819)^2</f>
        <v>239.5304186774589</v>
      </c>
      <c r="T5">
        <f t="shared" ref="T5:T23" si="4">0.5*1.225*2.1*(M5*0.75582677)^2</f>
        <v>239.53275679451835</v>
      </c>
      <c r="U5">
        <f>S5*Q5*(1/Sheet1!$B$13)</f>
        <v>25.456095244946951</v>
      </c>
      <c r="V5">
        <f t="shared" si="1"/>
        <v>27.0825</v>
      </c>
      <c r="X5" s="1" t="s">
        <v>61</v>
      </c>
    </row>
    <row r="6" spans="1:24" ht="34.950000000000003" customHeight="1" x14ac:dyDescent="0.3">
      <c r="A6" t="s">
        <v>71</v>
      </c>
      <c r="B6" t="s">
        <v>72</v>
      </c>
      <c r="C6" t="s">
        <v>73</v>
      </c>
      <c r="E6">
        <v>20</v>
      </c>
      <c r="F6" t="s">
        <v>74</v>
      </c>
      <c r="G6" t="s">
        <v>75</v>
      </c>
      <c r="H6" t="s">
        <v>76</v>
      </c>
      <c r="I6" t="s">
        <v>77</v>
      </c>
      <c r="J6">
        <v>20</v>
      </c>
      <c r="K6" t="s">
        <v>78</v>
      </c>
      <c r="L6">
        <f t="shared" si="0"/>
        <v>45.427199999999999</v>
      </c>
      <c r="M6">
        <v>8</v>
      </c>
      <c r="N6">
        <f>0.5915*M6^2</f>
        <v>37.856000000000002</v>
      </c>
      <c r="O6">
        <v>2160</v>
      </c>
      <c r="P6" s="1"/>
      <c r="Q6">
        <f>(J6*9.81)/O6</f>
        <v>9.0833333333333335E-2</v>
      </c>
      <c r="R6">
        <f t="shared" si="2"/>
        <v>47.04</v>
      </c>
      <c r="S6">
        <f t="shared" si="3"/>
        <v>47.026825385638936</v>
      </c>
      <c r="T6">
        <f t="shared" si="4"/>
        <v>47.02728442638746</v>
      </c>
      <c r="U6">
        <f>S6*Q6*(1/Sheet1!$B$13)</f>
        <v>2.3731129477012245</v>
      </c>
      <c r="V6">
        <v>9.0628366337100008</v>
      </c>
      <c r="X6" s="1" t="s">
        <v>70</v>
      </c>
    </row>
    <row r="7" spans="1:24" ht="16.2" x14ac:dyDescent="0.4">
      <c r="A7" t="s">
        <v>80</v>
      </c>
      <c r="B7" t="s">
        <v>81</v>
      </c>
      <c r="C7" t="s">
        <v>82</v>
      </c>
      <c r="E7">
        <v>18</v>
      </c>
      <c r="F7" s="6"/>
      <c r="G7" t="s">
        <v>83</v>
      </c>
      <c r="H7" t="s">
        <v>84</v>
      </c>
      <c r="J7">
        <v>2</v>
      </c>
      <c r="K7" t="s">
        <v>85</v>
      </c>
      <c r="L7">
        <f t="shared" si="0"/>
        <v>0</v>
      </c>
      <c r="P7" s="1"/>
      <c r="R7">
        <f t="shared" si="2"/>
        <v>0</v>
      </c>
      <c r="S7">
        <f t="shared" si="3"/>
        <v>0</v>
      </c>
      <c r="T7">
        <f t="shared" si="4"/>
        <v>0</v>
      </c>
      <c r="U7">
        <f>S7*Q7*(1/Sheet1!$B$13)</f>
        <v>0</v>
      </c>
      <c r="V7">
        <f>(M7*1.5)</f>
        <v>0</v>
      </c>
      <c r="X7" s="1" t="s">
        <v>79</v>
      </c>
    </row>
    <row r="8" spans="1:24" x14ac:dyDescent="0.3">
      <c r="A8" t="s">
        <v>87</v>
      </c>
      <c r="B8" t="s">
        <v>88</v>
      </c>
      <c r="C8" t="s">
        <v>46</v>
      </c>
      <c r="E8">
        <v>25</v>
      </c>
      <c r="F8" t="s">
        <v>89</v>
      </c>
      <c r="G8" t="s">
        <v>90</v>
      </c>
      <c r="H8" t="s">
        <v>91</v>
      </c>
      <c r="I8" t="s">
        <v>92</v>
      </c>
      <c r="J8">
        <v>22</v>
      </c>
      <c r="K8" t="s">
        <v>93</v>
      </c>
      <c r="L8">
        <f t="shared" si="0"/>
        <v>301.21072800000007</v>
      </c>
      <c r="M8">
        <v>20.6</v>
      </c>
      <c r="N8">
        <f>0.5915*M8^2</f>
        <v>251.00894000000005</v>
      </c>
      <c r="O8">
        <v>8960</v>
      </c>
      <c r="P8" s="1"/>
      <c r="Q8">
        <f t="shared" ref="Q8:Q13" si="5">(J8*9.81)/O8</f>
        <v>2.4087053571428575E-2</v>
      </c>
      <c r="R8">
        <f t="shared" si="2"/>
        <v>311.90460000000007</v>
      </c>
      <c r="S8">
        <f t="shared" si="3"/>
        <v>311.81724407265216</v>
      </c>
      <c r="T8">
        <f t="shared" si="4"/>
        <v>311.8202877997154</v>
      </c>
      <c r="U8">
        <f>S8*Q8*(1/Sheet1!$B$13)</f>
        <v>4.1726437013739961</v>
      </c>
      <c r="V8">
        <f t="shared" ref="V8:V23" si="6">(M8*1.5)</f>
        <v>30.900000000000002</v>
      </c>
      <c r="X8" s="1" t="s">
        <v>86</v>
      </c>
    </row>
    <row r="9" spans="1:24" x14ac:dyDescent="0.3">
      <c r="A9" t="s">
        <v>95</v>
      </c>
      <c r="B9" t="s">
        <v>81</v>
      </c>
      <c r="E9">
        <v>18</v>
      </c>
      <c r="F9" t="s">
        <v>96</v>
      </c>
      <c r="G9" t="s">
        <v>97</v>
      </c>
      <c r="H9" t="s">
        <v>84</v>
      </c>
      <c r="I9" t="s">
        <v>98</v>
      </c>
      <c r="J9">
        <v>5</v>
      </c>
      <c r="K9" t="s">
        <v>99</v>
      </c>
      <c r="L9">
        <f t="shared" si="0"/>
        <v>60</v>
      </c>
      <c r="M9">
        <v>10.5556</v>
      </c>
      <c r="N9">
        <v>50</v>
      </c>
      <c r="O9">
        <v>240</v>
      </c>
      <c r="P9" s="1"/>
      <c r="Q9">
        <f t="shared" si="5"/>
        <v>0.20437500000000003</v>
      </c>
      <c r="R9">
        <f t="shared" si="2"/>
        <v>81.894208149600004</v>
      </c>
      <c r="S9">
        <f t="shared" si="3"/>
        <v>81.871271827092002</v>
      </c>
      <c r="T9">
        <f t="shared" si="4"/>
        <v>81.87207099330395</v>
      </c>
      <c r="U9">
        <f>S9*Q9*(1/Sheet1!$B$13)</f>
        <v>9.2958006553677386</v>
      </c>
      <c r="V9">
        <f t="shared" si="6"/>
        <v>15.833400000000001</v>
      </c>
      <c r="X9" s="1" t="s">
        <v>94</v>
      </c>
    </row>
    <row r="10" spans="1:24" x14ac:dyDescent="0.3">
      <c r="A10" t="s">
        <v>101</v>
      </c>
      <c r="B10" t="s">
        <v>102</v>
      </c>
      <c r="C10" t="s">
        <v>103</v>
      </c>
      <c r="E10">
        <v>16</v>
      </c>
      <c r="F10" t="s">
        <v>104</v>
      </c>
      <c r="G10" t="s">
        <v>97</v>
      </c>
      <c r="H10" t="s">
        <v>105</v>
      </c>
      <c r="I10" t="s">
        <v>106</v>
      </c>
      <c r="J10">
        <v>5</v>
      </c>
      <c r="L10">
        <f t="shared" si="0"/>
        <v>0</v>
      </c>
      <c r="O10">
        <v>2000</v>
      </c>
      <c r="P10" s="1"/>
      <c r="Q10">
        <f t="shared" si="5"/>
        <v>2.4525000000000002E-2</v>
      </c>
      <c r="R10">
        <f t="shared" si="2"/>
        <v>0</v>
      </c>
      <c r="S10">
        <f t="shared" si="3"/>
        <v>0</v>
      </c>
      <c r="T10">
        <f t="shared" si="4"/>
        <v>0</v>
      </c>
      <c r="U10">
        <f>S10*Q10*(1/Sheet1!$B$13)</f>
        <v>0</v>
      </c>
      <c r="V10">
        <f t="shared" si="6"/>
        <v>0</v>
      </c>
      <c r="X10" s="1" t="s">
        <v>100</v>
      </c>
    </row>
    <row r="11" spans="1:24" x14ac:dyDescent="0.3">
      <c r="A11" t="s">
        <v>108</v>
      </c>
      <c r="C11" t="s">
        <v>46</v>
      </c>
      <c r="E11">
        <v>17</v>
      </c>
      <c r="F11" t="s">
        <v>109</v>
      </c>
      <c r="G11" t="s">
        <v>110</v>
      </c>
      <c r="H11" t="s">
        <v>111</v>
      </c>
      <c r="J11">
        <v>5.75</v>
      </c>
      <c r="L11">
        <f t="shared" si="0"/>
        <v>0</v>
      </c>
      <c r="O11">
        <v>300</v>
      </c>
      <c r="P11" s="1"/>
      <c r="Q11">
        <f t="shared" si="5"/>
        <v>0.18802500000000003</v>
      </c>
      <c r="R11">
        <f t="shared" si="2"/>
        <v>0</v>
      </c>
      <c r="S11">
        <f t="shared" si="3"/>
        <v>0</v>
      </c>
      <c r="T11">
        <f t="shared" si="4"/>
        <v>0</v>
      </c>
      <c r="U11">
        <f>S11*Q11*(1/Sheet1!$B$13)</f>
        <v>0</v>
      </c>
      <c r="V11">
        <f t="shared" si="6"/>
        <v>0</v>
      </c>
      <c r="X11" s="1" t="s">
        <v>107</v>
      </c>
    </row>
    <row r="12" spans="1:24" ht="57.6" x14ac:dyDescent="0.3">
      <c r="A12" t="s">
        <v>113</v>
      </c>
      <c r="B12" t="s">
        <v>114</v>
      </c>
      <c r="C12" t="s">
        <v>115</v>
      </c>
      <c r="D12" t="s">
        <v>116</v>
      </c>
      <c r="E12">
        <v>16.7</v>
      </c>
      <c r="F12" s="7" t="s">
        <v>117</v>
      </c>
      <c r="G12" t="s">
        <v>118</v>
      </c>
      <c r="H12" t="s">
        <v>119</v>
      </c>
      <c r="I12" t="s">
        <v>120</v>
      </c>
      <c r="J12">
        <v>18</v>
      </c>
      <c r="K12" t="s">
        <v>78</v>
      </c>
      <c r="L12">
        <f t="shared" si="0"/>
        <v>60</v>
      </c>
      <c r="N12">
        <v>50</v>
      </c>
      <c r="O12">
        <v>82</v>
      </c>
      <c r="P12" s="1"/>
      <c r="Q12">
        <f t="shared" si="5"/>
        <v>2.1534146341463418</v>
      </c>
      <c r="R12">
        <f t="shared" si="2"/>
        <v>0</v>
      </c>
      <c r="S12">
        <f t="shared" si="3"/>
        <v>0</v>
      </c>
      <c r="T12">
        <f t="shared" si="4"/>
        <v>0</v>
      </c>
      <c r="U12">
        <f>S12*Q12*(1/Sheet1!$B$13)</f>
        <v>0</v>
      </c>
      <c r="V12">
        <f t="shared" si="6"/>
        <v>0</v>
      </c>
      <c r="X12" s="1" t="s">
        <v>112</v>
      </c>
    </row>
    <row r="13" spans="1:24" x14ac:dyDescent="0.3">
      <c r="A13" t="s">
        <v>122</v>
      </c>
      <c r="B13" t="s">
        <v>123</v>
      </c>
      <c r="C13" t="s">
        <v>124</v>
      </c>
      <c r="E13">
        <v>16</v>
      </c>
      <c r="F13" t="s">
        <v>125</v>
      </c>
      <c r="G13" t="s">
        <v>126</v>
      </c>
      <c r="H13" t="s">
        <v>84</v>
      </c>
      <c r="I13" t="s">
        <v>127</v>
      </c>
      <c r="J13">
        <v>4.5</v>
      </c>
      <c r="K13" t="s">
        <v>128</v>
      </c>
      <c r="L13">
        <f t="shared" si="0"/>
        <v>0</v>
      </c>
      <c r="O13">
        <v>2000</v>
      </c>
      <c r="P13" s="1"/>
      <c r="Q13">
        <f t="shared" si="5"/>
        <v>2.2072500000000002E-2</v>
      </c>
      <c r="R13">
        <f t="shared" si="2"/>
        <v>0</v>
      </c>
      <c r="S13">
        <f t="shared" si="3"/>
        <v>0</v>
      </c>
      <c r="T13">
        <f t="shared" si="4"/>
        <v>0</v>
      </c>
      <c r="U13">
        <f>S13*Q13*(1/Sheet1!$B$13)</f>
        <v>0</v>
      </c>
      <c r="V13">
        <f t="shared" si="6"/>
        <v>0</v>
      </c>
      <c r="X13" s="1" t="s">
        <v>121</v>
      </c>
    </row>
    <row r="14" spans="1:24" x14ac:dyDescent="0.3">
      <c r="A14" t="s">
        <v>130</v>
      </c>
      <c r="B14" t="s">
        <v>81</v>
      </c>
      <c r="C14" t="s">
        <v>131</v>
      </c>
      <c r="D14" t="s">
        <v>132</v>
      </c>
      <c r="E14">
        <v>15.27</v>
      </c>
      <c r="H14" t="s">
        <v>111</v>
      </c>
      <c r="I14" t="s">
        <v>133</v>
      </c>
      <c r="J14">
        <v>3.7</v>
      </c>
      <c r="K14" t="s">
        <v>134</v>
      </c>
      <c r="L14">
        <f t="shared" si="0"/>
        <v>0</v>
      </c>
      <c r="P14" s="1"/>
      <c r="R14">
        <f t="shared" si="2"/>
        <v>0</v>
      </c>
      <c r="S14">
        <f t="shared" si="3"/>
        <v>0</v>
      </c>
      <c r="T14">
        <f t="shared" si="4"/>
        <v>0</v>
      </c>
      <c r="U14">
        <f>S14*Q14*(1/Sheet1!$B$13)</f>
        <v>0</v>
      </c>
      <c r="V14">
        <f t="shared" si="6"/>
        <v>0</v>
      </c>
      <c r="X14" s="1" t="s">
        <v>129</v>
      </c>
    </row>
    <row r="15" spans="1:24" ht="22.8" x14ac:dyDescent="0.4">
      <c r="A15" t="s">
        <v>136</v>
      </c>
      <c r="B15" t="s">
        <v>137</v>
      </c>
      <c r="C15" t="s">
        <v>138</v>
      </c>
      <c r="E15">
        <v>19</v>
      </c>
      <c r="F15" t="s">
        <v>139</v>
      </c>
      <c r="G15" t="s">
        <v>126</v>
      </c>
      <c r="H15" t="s">
        <v>140</v>
      </c>
      <c r="I15" t="s">
        <v>141</v>
      </c>
      <c r="J15">
        <v>41</v>
      </c>
      <c r="K15" t="s">
        <v>142</v>
      </c>
      <c r="L15">
        <f t="shared" si="0"/>
        <v>119.95620000000001</v>
      </c>
      <c r="M15">
        <v>13</v>
      </c>
      <c r="N15">
        <f>0.5915*M15^2</f>
        <v>99.96350000000001</v>
      </c>
      <c r="O15" s="10">
        <v>16703.68</v>
      </c>
      <c r="P15" s="1"/>
      <c r="Q15">
        <f>(J15*9.81)/O15</f>
        <v>2.4079125079024506E-2</v>
      </c>
      <c r="R15">
        <f t="shared" si="2"/>
        <v>124.215</v>
      </c>
      <c r="S15">
        <f t="shared" si="3"/>
        <v>124.18021078395279</v>
      </c>
      <c r="T15">
        <f t="shared" si="4"/>
        <v>124.18142293842941</v>
      </c>
      <c r="U15">
        <f>S15*Q15*(1/Sheet1!$B$13)</f>
        <v>1.6611949043369039</v>
      </c>
      <c r="V15">
        <f t="shared" si="6"/>
        <v>19.5</v>
      </c>
      <c r="X15" s="1" t="s">
        <v>135</v>
      </c>
    </row>
    <row r="16" spans="1:24" x14ac:dyDescent="0.3">
      <c r="A16" t="s">
        <v>144</v>
      </c>
      <c r="B16" t="s">
        <v>145</v>
      </c>
      <c r="C16" t="s">
        <v>146</v>
      </c>
      <c r="E16">
        <v>31</v>
      </c>
      <c r="F16" t="s">
        <v>147</v>
      </c>
      <c r="G16" t="s">
        <v>148</v>
      </c>
      <c r="H16" t="s">
        <v>149</v>
      </c>
      <c r="I16" t="s">
        <v>150</v>
      </c>
      <c r="J16">
        <v>103.05800000000001</v>
      </c>
      <c r="K16" t="s">
        <v>151</v>
      </c>
      <c r="L16">
        <f t="shared" si="0"/>
        <v>638.82000000000005</v>
      </c>
      <c r="M16">
        <v>30</v>
      </c>
      <c r="N16">
        <f>0.5915*M16^2</f>
        <v>532.35</v>
      </c>
      <c r="O16">
        <v>10080</v>
      </c>
      <c r="P16" s="1"/>
      <c r="Q16">
        <f>(J16*9.81)/O16</f>
        <v>0.10029751785714286</v>
      </c>
      <c r="R16">
        <f t="shared" si="2"/>
        <v>661.5</v>
      </c>
      <c r="S16">
        <f t="shared" si="3"/>
        <v>661.3147319855475</v>
      </c>
      <c r="T16">
        <f t="shared" si="4"/>
        <v>661.32118724607369</v>
      </c>
      <c r="U16">
        <f>S16*Q16*(1/Sheet1!$B$13)</f>
        <v>36.849014522506721</v>
      </c>
      <c r="V16">
        <f t="shared" si="6"/>
        <v>45</v>
      </c>
      <c r="X16" s="1" t="s">
        <v>143</v>
      </c>
    </row>
    <row r="17" spans="1:24" x14ac:dyDescent="0.3">
      <c r="A17" t="s">
        <v>153</v>
      </c>
      <c r="B17" t="s">
        <v>154</v>
      </c>
      <c r="C17" t="s">
        <v>155</v>
      </c>
      <c r="E17">
        <v>25</v>
      </c>
      <c r="F17" t="s">
        <v>156</v>
      </c>
      <c r="G17" t="s">
        <v>157</v>
      </c>
      <c r="H17" t="s">
        <v>158</v>
      </c>
      <c r="I17" t="s">
        <v>68</v>
      </c>
      <c r="J17">
        <v>45</v>
      </c>
      <c r="K17" t="s">
        <v>159</v>
      </c>
      <c r="L17">
        <f t="shared" si="0"/>
        <v>136.921515370458</v>
      </c>
      <c r="M17">
        <v>13.8889</v>
      </c>
      <c r="N17">
        <f>0.5915*M17^2</f>
        <v>114.10126280871501</v>
      </c>
      <c r="O17">
        <v>2941</v>
      </c>
      <c r="P17" s="1"/>
      <c r="Q17">
        <f>(J17*9.81)/O17</f>
        <v>0.15010200612036723</v>
      </c>
      <c r="R17">
        <f t="shared" si="2"/>
        <v>141.78263425935</v>
      </c>
      <c r="S17">
        <f t="shared" si="3"/>
        <v>141.74292483057741</v>
      </c>
      <c r="T17">
        <f t="shared" si="4"/>
        <v>141.74430841915219</v>
      </c>
      <c r="U17">
        <f>S17*Q17*(1/Sheet1!$B$13)</f>
        <v>11.819942983576713</v>
      </c>
      <c r="V17">
        <f t="shared" si="6"/>
        <v>20.833349999999999</v>
      </c>
      <c r="X17" s="1" t="s">
        <v>152</v>
      </c>
    </row>
    <row r="18" spans="1:24" x14ac:dyDescent="0.3">
      <c r="A18" t="s">
        <v>161</v>
      </c>
      <c r="B18" t="s">
        <v>123</v>
      </c>
      <c r="C18" t="s">
        <v>162</v>
      </c>
      <c r="E18">
        <v>16</v>
      </c>
      <c r="F18" t="s">
        <v>163</v>
      </c>
      <c r="G18" t="s">
        <v>126</v>
      </c>
      <c r="H18" t="s">
        <v>164</v>
      </c>
      <c r="I18" t="s">
        <v>106</v>
      </c>
      <c r="J18">
        <v>4.7</v>
      </c>
      <c r="K18" t="s">
        <v>165</v>
      </c>
      <c r="L18">
        <f t="shared" si="0"/>
        <v>45.427199999999999</v>
      </c>
      <c r="M18">
        <v>8</v>
      </c>
      <c r="N18">
        <f>0.5915*M18^2</f>
        <v>37.856000000000002</v>
      </c>
      <c r="P18" s="1"/>
      <c r="R18">
        <f t="shared" si="2"/>
        <v>47.04</v>
      </c>
      <c r="S18">
        <f t="shared" si="3"/>
        <v>47.026825385638936</v>
      </c>
      <c r="T18">
        <f t="shared" si="4"/>
        <v>47.02728442638746</v>
      </c>
      <c r="U18">
        <f>S18*Q18*(1/Sheet1!$B$13)</f>
        <v>0</v>
      </c>
      <c r="V18">
        <f t="shared" si="6"/>
        <v>12</v>
      </c>
      <c r="X18" t="s">
        <v>160</v>
      </c>
    </row>
    <row r="19" spans="1:24" x14ac:dyDescent="0.3">
      <c r="A19" t="s">
        <v>167</v>
      </c>
      <c r="B19" t="s">
        <v>168</v>
      </c>
      <c r="C19" t="s">
        <v>169</v>
      </c>
      <c r="E19">
        <v>36</v>
      </c>
      <c r="G19" t="s">
        <v>126</v>
      </c>
      <c r="H19" t="s">
        <v>158</v>
      </c>
      <c r="I19" t="s">
        <v>170</v>
      </c>
      <c r="J19">
        <v>30</v>
      </c>
      <c r="K19" t="s">
        <v>171</v>
      </c>
      <c r="L19">
        <f t="shared" si="0"/>
        <v>231.38275114499999</v>
      </c>
      <c r="M19">
        <v>18.055</v>
      </c>
      <c r="N19">
        <f>0.5915*M19^2</f>
        <v>192.81895928750001</v>
      </c>
      <c r="O19">
        <v>279.63745</v>
      </c>
      <c r="P19" s="1"/>
      <c r="Q19">
        <f>(J19*9.81)/O19</f>
        <v>1.0524341428517532</v>
      </c>
      <c r="R19">
        <f t="shared" si="2"/>
        <v>239.59752337499998</v>
      </c>
      <c r="S19">
        <f t="shared" si="3"/>
        <v>239.5304186774589</v>
      </c>
      <c r="T19">
        <f t="shared" si="4"/>
        <v>239.53275679451835</v>
      </c>
      <c r="U19">
        <f>S19*Q19*(1/Sheet1!$B$13)</f>
        <v>140.04999492651837</v>
      </c>
      <c r="V19">
        <f t="shared" si="6"/>
        <v>27.0825</v>
      </c>
      <c r="X19" s="1" t="s">
        <v>166</v>
      </c>
    </row>
    <row r="20" spans="1:24" x14ac:dyDescent="0.3">
      <c r="A20" t="s">
        <v>173</v>
      </c>
      <c r="B20" t="s">
        <v>174</v>
      </c>
      <c r="C20" t="s">
        <v>175</v>
      </c>
      <c r="F20" t="s">
        <v>176</v>
      </c>
      <c r="H20" t="s">
        <v>177</v>
      </c>
      <c r="I20" t="s">
        <v>178</v>
      </c>
      <c r="J20">
        <v>1.1000000000000001</v>
      </c>
      <c r="K20" t="s">
        <v>179</v>
      </c>
      <c r="L20">
        <f t="shared" si="0"/>
        <v>0</v>
      </c>
      <c r="P20" s="1"/>
      <c r="R20">
        <f t="shared" si="2"/>
        <v>0</v>
      </c>
      <c r="S20">
        <f t="shared" si="3"/>
        <v>0</v>
      </c>
      <c r="T20">
        <f t="shared" si="4"/>
        <v>0</v>
      </c>
      <c r="U20">
        <f>S20*Q20*(1/Sheet1!$B$13)</f>
        <v>0</v>
      </c>
      <c r="V20">
        <f t="shared" si="6"/>
        <v>0</v>
      </c>
      <c r="X20" s="1" t="s">
        <v>172</v>
      </c>
    </row>
    <row r="21" spans="1:24" ht="28.8" x14ac:dyDescent="0.3">
      <c r="A21" t="s">
        <v>181</v>
      </c>
      <c r="B21" t="s">
        <v>81</v>
      </c>
      <c r="C21" t="s">
        <v>182</v>
      </c>
      <c r="F21" s="7" t="s">
        <v>183</v>
      </c>
      <c r="H21" t="s">
        <v>184</v>
      </c>
      <c r="I21" t="s">
        <v>185</v>
      </c>
      <c r="J21">
        <v>2.5</v>
      </c>
      <c r="K21" t="s">
        <v>114</v>
      </c>
      <c r="L21">
        <f t="shared" si="0"/>
        <v>0</v>
      </c>
      <c r="P21" s="1"/>
      <c r="R21">
        <f t="shared" si="2"/>
        <v>0</v>
      </c>
      <c r="S21">
        <f t="shared" si="3"/>
        <v>0</v>
      </c>
      <c r="T21">
        <f t="shared" si="4"/>
        <v>0</v>
      </c>
      <c r="U21">
        <f>S21*Q21*(1/Sheet1!$B$13)</f>
        <v>0</v>
      </c>
      <c r="V21">
        <f t="shared" si="6"/>
        <v>0</v>
      </c>
      <c r="X21" s="1" t="s">
        <v>180</v>
      </c>
    </row>
    <row r="22" spans="1:24" x14ac:dyDescent="0.3">
      <c r="A22" t="s">
        <v>187</v>
      </c>
      <c r="B22" t="s">
        <v>188</v>
      </c>
      <c r="C22" t="s">
        <v>175</v>
      </c>
      <c r="E22">
        <v>15.4</v>
      </c>
      <c r="G22" t="s">
        <v>189</v>
      </c>
      <c r="H22" t="s">
        <v>111</v>
      </c>
      <c r="I22" t="s">
        <v>190</v>
      </c>
      <c r="J22">
        <v>7.82</v>
      </c>
      <c r="K22" t="s">
        <v>191</v>
      </c>
      <c r="L22">
        <f>0.5915*M22^2</f>
        <v>35.161185150000001</v>
      </c>
      <c r="M22">
        <v>7.71</v>
      </c>
      <c r="P22" s="1"/>
      <c r="R22">
        <f t="shared" si="2"/>
        <v>43.691413499999996</v>
      </c>
      <c r="S22">
        <f t="shared" si="3"/>
        <v>43.679176732913419</v>
      </c>
      <c r="T22">
        <f t="shared" si="4"/>
        <v>43.679603096415917</v>
      </c>
      <c r="U22">
        <f>S22*Q22*(1/Sheet1!$B$13)</f>
        <v>0</v>
      </c>
      <c r="V22">
        <f t="shared" si="6"/>
        <v>11.565</v>
      </c>
      <c r="X22" s="1" t="s">
        <v>186</v>
      </c>
    </row>
    <row r="23" spans="1:24" x14ac:dyDescent="0.3">
      <c r="A23" t="s">
        <v>193</v>
      </c>
      <c r="B23" t="s">
        <v>142</v>
      </c>
      <c r="C23" t="s">
        <v>194</v>
      </c>
      <c r="F23" t="s">
        <v>195</v>
      </c>
      <c r="G23" t="s">
        <v>196</v>
      </c>
      <c r="H23" t="s">
        <v>197</v>
      </c>
      <c r="I23" t="s">
        <v>198</v>
      </c>
      <c r="J23">
        <v>74.84</v>
      </c>
      <c r="K23" t="s">
        <v>199</v>
      </c>
      <c r="L23">
        <f>0.5915*M23^2</f>
        <v>0</v>
      </c>
      <c r="P23" s="1"/>
      <c r="R23">
        <f t="shared" si="2"/>
        <v>0</v>
      </c>
      <c r="S23">
        <f t="shared" si="3"/>
        <v>0</v>
      </c>
      <c r="T23">
        <f t="shared" si="4"/>
        <v>0</v>
      </c>
      <c r="U23">
        <f>S23*Q23*(1/Sheet1!$B$13)</f>
        <v>0</v>
      </c>
      <c r="V23">
        <f t="shared" si="6"/>
        <v>0</v>
      </c>
      <c r="X23" s="1" t="s">
        <v>192</v>
      </c>
    </row>
    <row r="24" spans="1:24" x14ac:dyDescent="0.3">
      <c r="X24" s="1" t="s">
        <v>200</v>
      </c>
    </row>
    <row r="35" spans="1:23" x14ac:dyDescent="0.3">
      <c r="Q35" t="s">
        <v>217</v>
      </c>
      <c r="R35" t="s">
        <v>218</v>
      </c>
      <c r="S35" t="s">
        <v>219</v>
      </c>
      <c r="V35" t="s">
        <v>219</v>
      </c>
    </row>
    <row r="36" spans="1:23" x14ac:dyDescent="0.3">
      <c r="R36">
        <v>0.17780625</v>
      </c>
      <c r="S36">
        <v>1.1613421487812867</v>
      </c>
      <c r="V36">
        <v>1.1613421487812867</v>
      </c>
      <c r="W36">
        <v>240</v>
      </c>
    </row>
    <row r="37" spans="1:23" x14ac:dyDescent="0.3">
      <c r="R37">
        <v>0.19129500000000002</v>
      </c>
      <c r="S37">
        <v>25.456095244946951</v>
      </c>
      <c r="V37">
        <v>25.456095244946951</v>
      </c>
      <c r="W37">
        <v>231.38275114499999</v>
      </c>
    </row>
    <row r="38" spans="1:23" ht="15" thickBot="1" x14ac:dyDescent="0.35">
      <c r="R38">
        <v>9.0833333333333335E-2</v>
      </c>
      <c r="S38">
        <v>2.3731129477012245</v>
      </c>
      <c r="V38">
        <v>2.3731129477012245</v>
      </c>
      <c r="W38">
        <v>45.427199999999999</v>
      </c>
    </row>
    <row r="39" spans="1:23" ht="15" thickBot="1" x14ac:dyDescent="0.35">
      <c r="B39" s="3" t="s">
        <v>28</v>
      </c>
      <c r="C39" s="3" t="s">
        <v>29</v>
      </c>
      <c r="D39" s="3" t="s">
        <v>30</v>
      </c>
      <c r="E39" s="3" t="s">
        <v>31</v>
      </c>
      <c r="F39" s="3" t="s">
        <v>32</v>
      </c>
      <c r="G39" s="3" t="s">
        <v>33</v>
      </c>
      <c r="H39" s="4" t="s">
        <v>34</v>
      </c>
      <c r="I39" s="4" t="s">
        <v>35</v>
      </c>
      <c r="R39">
        <v>2.4087053571428575E-2</v>
      </c>
      <c r="S39">
        <v>4.1726437013739961</v>
      </c>
      <c r="V39">
        <v>4.1726437013739961</v>
      </c>
      <c r="W39">
        <v>301.21072800000007</v>
      </c>
    </row>
    <row r="40" spans="1:23" x14ac:dyDescent="0.3">
      <c r="A40" t="s">
        <v>201</v>
      </c>
      <c r="B40" t="s">
        <v>114</v>
      </c>
      <c r="C40" t="s">
        <v>138</v>
      </c>
      <c r="D40" t="s">
        <v>202</v>
      </c>
      <c r="E40" t="s">
        <v>203</v>
      </c>
      <c r="F40" t="s">
        <v>204</v>
      </c>
      <c r="G40" t="s">
        <v>126</v>
      </c>
      <c r="H40" t="s">
        <v>205</v>
      </c>
      <c r="I40" t="s">
        <v>206</v>
      </c>
      <c r="R40">
        <v>0.20437500000000003</v>
      </c>
      <c r="S40">
        <v>9.2958006553677386</v>
      </c>
      <c r="V40">
        <v>9.2958006553677386</v>
      </c>
      <c r="W40">
        <v>60</v>
      </c>
    </row>
    <row r="41" spans="1:23" x14ac:dyDescent="0.3">
      <c r="R41">
        <v>2.4079125079024506E-2</v>
      </c>
      <c r="S41">
        <v>1.6611949043369039</v>
      </c>
      <c r="V41">
        <v>1.6611949043369039</v>
      </c>
      <c r="W41">
        <v>119.95620000000001</v>
      </c>
    </row>
    <row r="42" spans="1:23" x14ac:dyDescent="0.3">
      <c r="A42" t="s">
        <v>207</v>
      </c>
      <c r="R42">
        <v>0.10029751785714286</v>
      </c>
      <c r="S42">
        <v>36.849014522506721</v>
      </c>
      <c r="V42">
        <v>36.849014522506721</v>
      </c>
      <c r="W42">
        <v>638.82000000000005</v>
      </c>
    </row>
    <row r="43" spans="1:23" x14ac:dyDescent="0.3">
      <c r="A43" t="s">
        <v>208</v>
      </c>
      <c r="B43" t="s">
        <v>209</v>
      </c>
      <c r="R43">
        <v>0.15010200612036723</v>
      </c>
      <c r="S43">
        <v>11.819942983576713</v>
      </c>
      <c r="V43">
        <v>11.819942983576713</v>
      </c>
      <c r="W43">
        <v>136.921515370458</v>
      </c>
    </row>
    <row r="44" spans="1:23" x14ac:dyDescent="0.3">
      <c r="R44">
        <v>1.0524341428517532</v>
      </c>
      <c r="S44">
        <v>140.04999492651837</v>
      </c>
      <c r="V44">
        <v>140.04999492651837</v>
      </c>
      <c r="W44">
        <v>231.38275114499999</v>
      </c>
    </row>
    <row r="46" spans="1:23" x14ac:dyDescent="0.3">
      <c r="Q46" t="s">
        <v>217</v>
      </c>
      <c r="R46" t="s">
        <v>218</v>
      </c>
    </row>
    <row r="47" spans="1:23" x14ac:dyDescent="0.3">
      <c r="A47" t="s">
        <v>210</v>
      </c>
      <c r="Q47">
        <v>11.76</v>
      </c>
      <c r="R47">
        <v>0.17780625</v>
      </c>
    </row>
    <row r="48" spans="1:23" x14ac:dyDescent="0.3">
      <c r="Q48">
        <v>239.59752337499998</v>
      </c>
      <c r="R48">
        <v>0.19129500000000002</v>
      </c>
    </row>
    <row r="49" spans="1:23" x14ac:dyDescent="0.3">
      <c r="Q49">
        <v>47.04</v>
      </c>
      <c r="R49">
        <v>9.0833333333333335E-2</v>
      </c>
    </row>
    <row r="50" spans="1:23" x14ac:dyDescent="0.3">
      <c r="A50" t="s">
        <v>211</v>
      </c>
      <c r="B50">
        <v>10</v>
      </c>
      <c r="C50">
        <v>5.5</v>
      </c>
      <c r="D50">
        <f>9.81*B50</f>
        <v>98.100000000000009</v>
      </c>
      <c r="E50">
        <f>9.81*C50</f>
        <v>53.955000000000005</v>
      </c>
      <c r="Q50">
        <v>311.90460000000007</v>
      </c>
      <c r="R50">
        <v>2.4087053571428575E-2</v>
      </c>
      <c r="V50" t="s">
        <v>220</v>
      </c>
      <c r="W50" t="s">
        <v>40</v>
      </c>
    </row>
    <row r="51" spans="1:23" x14ac:dyDescent="0.3">
      <c r="B51" s="7">
        <v>5.8</v>
      </c>
      <c r="C51" s="7">
        <v>5.2</v>
      </c>
      <c r="D51">
        <f t="shared" ref="D51:E68" si="7">9.81*B51</f>
        <v>56.898000000000003</v>
      </c>
      <c r="E51">
        <f t="shared" si="7"/>
        <v>51.012000000000008</v>
      </c>
      <c r="Q51">
        <v>81.894208149600004</v>
      </c>
      <c r="R51">
        <v>0.20437500000000003</v>
      </c>
      <c r="V51">
        <v>1.1613421487812867</v>
      </c>
      <c r="W51">
        <v>200</v>
      </c>
    </row>
    <row r="52" spans="1:23" x14ac:dyDescent="0.3">
      <c r="B52">
        <v>39</v>
      </c>
      <c r="C52">
        <v>29</v>
      </c>
      <c r="D52">
        <f t="shared" si="7"/>
        <v>382.59000000000003</v>
      </c>
      <c r="E52">
        <f t="shared" si="7"/>
        <v>284.49</v>
      </c>
      <c r="Q52">
        <v>124.215</v>
      </c>
      <c r="R52">
        <v>2.4079125079024506E-2</v>
      </c>
      <c r="V52">
        <v>25.456095244946951</v>
      </c>
      <c r="W52">
        <v>192.81895928750001</v>
      </c>
    </row>
    <row r="53" spans="1:23" x14ac:dyDescent="0.3">
      <c r="B53">
        <v>20</v>
      </c>
      <c r="C53">
        <v>16</v>
      </c>
      <c r="D53">
        <f t="shared" si="7"/>
        <v>196.20000000000002</v>
      </c>
      <c r="E53">
        <f t="shared" si="7"/>
        <v>156.96</v>
      </c>
      <c r="Q53">
        <v>661.5</v>
      </c>
      <c r="R53">
        <v>0.10029751785714286</v>
      </c>
      <c r="V53">
        <v>8.3429752067621159</v>
      </c>
      <c r="W53">
        <v>133.08750000000001</v>
      </c>
    </row>
    <row r="54" spans="1:23" x14ac:dyDescent="0.3">
      <c r="B54">
        <v>2</v>
      </c>
      <c r="C54">
        <v>1.5</v>
      </c>
      <c r="D54">
        <f t="shared" si="7"/>
        <v>19.62</v>
      </c>
      <c r="E54">
        <f t="shared" si="7"/>
        <v>14.715</v>
      </c>
      <c r="Q54">
        <v>141.78263425935</v>
      </c>
      <c r="R54">
        <v>0.15010200612036723</v>
      </c>
      <c r="V54">
        <v>4.1726437013739961</v>
      </c>
      <c r="W54">
        <v>251.00894000000005</v>
      </c>
    </row>
    <row r="55" spans="1:23" x14ac:dyDescent="0.3">
      <c r="B55">
        <v>22</v>
      </c>
      <c r="C55">
        <v>17</v>
      </c>
      <c r="D55">
        <f t="shared" si="7"/>
        <v>215.82000000000002</v>
      </c>
      <c r="E55">
        <f t="shared" si="7"/>
        <v>166.77</v>
      </c>
      <c r="Q55">
        <v>239.59752337499998</v>
      </c>
      <c r="R55">
        <v>1.0524341428517532</v>
      </c>
      <c r="V55">
        <v>9.2958006553677386</v>
      </c>
      <c r="W55">
        <v>50</v>
      </c>
    </row>
    <row r="56" spans="1:23" x14ac:dyDescent="0.3">
      <c r="B56">
        <v>5</v>
      </c>
      <c r="C56">
        <v>4.5</v>
      </c>
      <c r="D56">
        <f t="shared" si="7"/>
        <v>49.050000000000004</v>
      </c>
      <c r="E56">
        <f t="shared" si="7"/>
        <v>44.145000000000003</v>
      </c>
      <c r="V56">
        <v>1.6611949043369039</v>
      </c>
      <c r="W56">
        <v>99.96350000000001</v>
      </c>
    </row>
    <row r="57" spans="1:23" x14ac:dyDescent="0.3">
      <c r="B57">
        <v>18</v>
      </c>
      <c r="C57">
        <v>16</v>
      </c>
      <c r="D57">
        <f t="shared" si="7"/>
        <v>176.58</v>
      </c>
      <c r="E57">
        <f t="shared" si="7"/>
        <v>156.96</v>
      </c>
      <c r="V57">
        <v>36.849014522506721</v>
      </c>
      <c r="W57">
        <v>532.35</v>
      </c>
    </row>
    <row r="58" spans="1:23" x14ac:dyDescent="0.3">
      <c r="B58">
        <v>4.5</v>
      </c>
      <c r="C58">
        <v>3.5</v>
      </c>
      <c r="D58">
        <f t="shared" si="7"/>
        <v>44.145000000000003</v>
      </c>
      <c r="E58">
        <f t="shared" si="7"/>
        <v>34.335000000000001</v>
      </c>
      <c r="V58">
        <v>11.819942983576713</v>
      </c>
      <c r="W58">
        <v>114.10126280871501</v>
      </c>
    </row>
    <row r="59" spans="1:23" x14ac:dyDescent="0.3">
      <c r="B59">
        <v>3.7</v>
      </c>
      <c r="C59">
        <v>3.2</v>
      </c>
      <c r="D59">
        <f t="shared" si="7"/>
        <v>36.297000000000004</v>
      </c>
      <c r="E59">
        <f t="shared" si="7"/>
        <v>31.392000000000003</v>
      </c>
    </row>
    <row r="60" spans="1:23" x14ac:dyDescent="0.3">
      <c r="B60">
        <v>41</v>
      </c>
      <c r="C60">
        <v>18</v>
      </c>
      <c r="D60">
        <f t="shared" si="7"/>
        <v>402.21000000000004</v>
      </c>
      <c r="E60">
        <f t="shared" si="7"/>
        <v>176.58</v>
      </c>
    </row>
    <row r="61" spans="1:23" x14ac:dyDescent="0.3">
      <c r="B61">
        <v>103.05800000000001</v>
      </c>
      <c r="C61">
        <v>74.84</v>
      </c>
      <c r="D61">
        <f t="shared" si="7"/>
        <v>1010.9989800000001</v>
      </c>
      <c r="E61">
        <f t="shared" si="7"/>
        <v>734.18040000000008</v>
      </c>
    </row>
    <row r="62" spans="1:23" x14ac:dyDescent="0.3">
      <c r="B62">
        <v>45</v>
      </c>
      <c r="C62">
        <v>38</v>
      </c>
      <c r="D62">
        <f t="shared" si="7"/>
        <v>441.45000000000005</v>
      </c>
      <c r="E62">
        <f t="shared" si="7"/>
        <v>372.78000000000003</v>
      </c>
    </row>
    <row r="63" spans="1:23" x14ac:dyDescent="0.3">
      <c r="B63">
        <v>4.7</v>
      </c>
      <c r="C63">
        <v>3.7</v>
      </c>
      <c r="D63">
        <f t="shared" si="7"/>
        <v>46.107000000000006</v>
      </c>
      <c r="E63">
        <f t="shared" si="7"/>
        <v>36.297000000000004</v>
      </c>
    </row>
    <row r="64" spans="1:23" x14ac:dyDescent="0.3">
      <c r="B64">
        <v>30</v>
      </c>
      <c r="C64">
        <v>27</v>
      </c>
      <c r="D64">
        <f t="shared" si="7"/>
        <v>294.3</v>
      </c>
      <c r="E64">
        <f t="shared" si="7"/>
        <v>264.87</v>
      </c>
    </row>
    <row r="65" spans="2:5" x14ac:dyDescent="0.3">
      <c r="B65">
        <v>1.1000000000000001</v>
      </c>
      <c r="C65">
        <v>0.8</v>
      </c>
      <c r="D65">
        <f t="shared" si="7"/>
        <v>10.791000000000002</v>
      </c>
      <c r="E65">
        <f t="shared" si="7"/>
        <v>7.8480000000000008</v>
      </c>
    </row>
    <row r="66" spans="2:5" x14ac:dyDescent="0.3">
      <c r="B66">
        <v>2.5</v>
      </c>
      <c r="C66">
        <v>2</v>
      </c>
      <c r="D66">
        <f t="shared" si="7"/>
        <v>24.525000000000002</v>
      </c>
      <c r="E66">
        <f t="shared" si="7"/>
        <v>19.62</v>
      </c>
    </row>
    <row r="67" spans="2:5" x14ac:dyDescent="0.3">
      <c r="B67">
        <v>7.82</v>
      </c>
      <c r="C67">
        <v>6.1461766000000004</v>
      </c>
      <c r="D67">
        <f t="shared" si="7"/>
        <v>76.714200000000005</v>
      </c>
      <c r="E67">
        <f t="shared" si="7"/>
        <v>60.293992446000004</v>
      </c>
    </row>
    <row r="68" spans="2:5" x14ac:dyDescent="0.3">
      <c r="B68">
        <v>74.84</v>
      </c>
      <c r="C68">
        <v>56.84</v>
      </c>
      <c r="D68">
        <f t="shared" si="7"/>
        <v>734.18040000000008</v>
      </c>
      <c r="E68">
        <f t="shared" si="7"/>
        <v>557.60040000000004</v>
      </c>
    </row>
  </sheetData>
  <hyperlinks>
    <hyperlink ref="X4" r:id="rId1" xr:uid="{6FFC14BF-051B-408D-95E6-22DC7EC59700}"/>
    <hyperlink ref="X5" r:id="rId2" xr:uid="{97F1849E-D32C-4AF1-A546-CDE7EF2B342F}"/>
    <hyperlink ref="X6" r:id="rId3" xr:uid="{E17AA71A-AEE2-4D9D-8DE1-1439AA0964D2}"/>
    <hyperlink ref="X7" r:id="rId4" xr:uid="{CAC900F7-5F86-43D9-92A5-F2178D6824D5}"/>
    <hyperlink ref="X9" r:id="rId5" xr:uid="{3692E931-29BA-4630-AF0D-34AAB6D9251D}"/>
    <hyperlink ref="X8" r:id="rId6" xr:uid="{D2222087-4454-42A0-91C3-CC944A51B6CC}"/>
    <hyperlink ref="X10" r:id="rId7" xr:uid="{29FA759A-E256-4F75-8CA6-63451EBE76DF}"/>
    <hyperlink ref="X11" r:id="rId8" location="open2113345" xr:uid="{F67DA01E-01B4-4887-8154-70CA289E7828}"/>
    <hyperlink ref="X12" r:id="rId9" xr:uid="{57C41CCB-4CFA-4D03-B6B3-A304B331E0B5}"/>
    <hyperlink ref="X13" r:id="rId10" display="https://geo-matching.com/products/dt26x-lidar" xr:uid="{248F3A0B-27AF-4E4B-9B6B-AA366CE38E04}"/>
    <hyperlink ref="X14" r:id="rId11" xr:uid="{FB1F2E7B-7B2B-41B9-A09D-1B498503AA75}"/>
    <hyperlink ref="X15" r:id="rId12" xr:uid="{5364B255-5306-4E4C-B28E-503F74C64E40}"/>
    <hyperlink ref="X16" r:id="rId13" xr:uid="{F8A6F76C-EF06-4BC6-BC4A-0E789D382BDD}"/>
    <hyperlink ref="X17" r:id="rId14" xr:uid="{0CAE0E4D-0D1F-454F-B986-5640E4C61946}"/>
    <hyperlink ref="X19" r:id="rId15" xr:uid="{CDFF1CA9-DF7C-45B5-B568-31ACA3592FF8}"/>
    <hyperlink ref="X20" r:id="rId16" xr:uid="{DC70C9EF-9AB5-4BE6-9932-1CA60B4BEA4B}"/>
    <hyperlink ref="X21" r:id="rId17" xr:uid="{C5813F21-4BD0-4633-A129-2ECA82CE9C3D}"/>
    <hyperlink ref="X22" r:id="rId18" xr:uid="{B3989EF0-4BB2-48F2-B825-4A997F8AB434}"/>
    <hyperlink ref="X23" r:id="rId19" xr:uid="{4ACE87C1-F3B2-4702-A27E-AA0AB1983EA7}"/>
    <hyperlink ref="X24" r:id="rId20" xr:uid="{CD009D2D-A12B-4AAF-B45C-AF5B8B761BA9}"/>
  </hyperlinks>
  <pageMargins left="0.7" right="0.7" top="0.75" bottom="0.75" header="0.3" footer="0.3"/>
  <pageSetup orientation="portrait" r:id="rId21"/>
  <drawing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DE1-9605-4840-B9ED-F101CB74BBDB}">
  <dimension ref="A1:B2"/>
  <sheetViews>
    <sheetView zoomScaleNormal="100" workbookViewId="0">
      <selection activeCell="B12" sqref="B12"/>
    </sheetView>
  </sheetViews>
  <sheetFormatPr defaultRowHeight="14.4" x14ac:dyDescent="0.3"/>
  <sheetData>
    <row r="1" spans="1:2" x14ac:dyDescent="0.3">
      <c r="A1">
        <f>0.5*Sheet1!B15*Sheet1!B14^2*Sheet1!B13</f>
        <v>357.21000000000004</v>
      </c>
      <c r="B1" t="s">
        <v>212</v>
      </c>
    </row>
    <row r="2" spans="1:2" x14ac:dyDescent="0.3">
      <c r="A2">
        <f>(Sheet1!B13*Sheet1!B15*(Sheet1!B16/0.5915))/2</f>
        <v>357.21000000000004</v>
      </c>
      <c r="B2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Goforth, Cj</dc:creator>
  <cp:keywords/>
  <dc:description/>
  <cp:lastModifiedBy>Smythe Goforth</cp:lastModifiedBy>
  <cp:revision/>
  <dcterms:created xsi:type="dcterms:W3CDTF">2024-08-23T14:55:34Z</dcterms:created>
  <dcterms:modified xsi:type="dcterms:W3CDTF">2024-10-07T15:37:33Z</dcterms:modified>
  <cp:category/>
  <cp:contentStatus/>
</cp:coreProperties>
</file>