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1.xml" ContentType="application/vnd.openxmlformats-officedocument.drawing+xml"/>
  <Override PartName="/xl/comments1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t/Desktop/"/>
    </mc:Choice>
  </mc:AlternateContent>
  <bookViews>
    <workbookView xWindow="0" yWindow="2720" windowWidth="28800" windowHeight="15940" tabRatio="925" activeTab="1"/>
  </bookViews>
  <sheets>
    <sheet name="Documentation" sheetId="1" r:id="rId1"/>
    <sheet name="Income Statement" sheetId="3" r:id="rId2"/>
    <sheet name="Balance Sheet" sheetId="5" r:id="rId3"/>
    <sheet name="Cash Flows" sheetId="31" r:id="rId4"/>
    <sheet name="Fixed Asset" sheetId="6" r:id="rId5"/>
    <sheet name="Working Cap" sheetId="7" r:id="rId6"/>
    <sheet name=" DCF - WACC From Model" sheetId="32" r:id="rId7"/>
    <sheet name=" DCF - Bloom WACC" sheetId="10" r:id="rId8"/>
    <sheet name=" DCF - Ideal Cap Structure" sheetId="33" r:id="rId9"/>
    <sheet name=" DCF - Comps WACC" sheetId="34" r:id="rId10"/>
    <sheet name="Full Comparables" sheetId="8" r:id="rId11"/>
    <sheet name="Football Field - Base EPS" sheetId="16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2" i="32" l="1"/>
  <c r="C78" i="33"/>
  <c r="C78" i="34"/>
  <c r="C78" i="10"/>
  <c r="C69" i="32"/>
  <c r="M13" i="3"/>
  <c r="M15" i="3"/>
  <c r="M20" i="3"/>
  <c r="M22" i="3"/>
  <c r="M47" i="3"/>
  <c r="C79" i="32"/>
  <c r="C80" i="32"/>
  <c r="D87" i="32"/>
  <c r="C70" i="32"/>
  <c r="C76" i="32"/>
  <c r="C71" i="32"/>
  <c r="C75" i="33"/>
  <c r="C76" i="33"/>
  <c r="C72" i="33"/>
  <c r="C67" i="33"/>
  <c r="C67" i="34"/>
  <c r="C65" i="10"/>
  <c r="C75" i="10"/>
  <c r="C76" i="10"/>
  <c r="C72" i="10"/>
  <c r="M24" i="3"/>
  <c r="M26" i="3"/>
  <c r="M29" i="3"/>
  <c r="H20" i="8"/>
  <c r="E47" i="31"/>
  <c r="E32" i="31"/>
  <c r="E10" i="31"/>
  <c r="E13" i="31"/>
  <c r="E22" i="31"/>
  <c r="E50" i="31"/>
  <c r="D47" i="31"/>
  <c r="D32" i="31"/>
  <c r="H13" i="3"/>
  <c r="H15" i="3"/>
  <c r="H20" i="3"/>
  <c r="H22" i="3"/>
  <c r="D10" i="31"/>
  <c r="D13" i="31"/>
  <c r="D22" i="31"/>
  <c r="D50" i="31"/>
  <c r="D53" i="31"/>
  <c r="D9" i="5"/>
  <c r="E52" i="31"/>
  <c r="E53" i="31"/>
  <c r="E9" i="5"/>
  <c r="E17" i="5"/>
  <c r="E34" i="5"/>
  <c r="O23" i="5"/>
  <c r="E37" i="5"/>
  <c r="E60" i="5"/>
  <c r="M27" i="5"/>
  <c r="N29" i="5"/>
  <c r="I25" i="8"/>
  <c r="H34" i="8"/>
  <c r="I34" i="8"/>
  <c r="J34" i="8"/>
  <c r="K34" i="8"/>
  <c r="N9" i="3"/>
  <c r="N10" i="3"/>
  <c r="N11" i="3"/>
  <c r="N12" i="3"/>
  <c r="N13" i="3"/>
  <c r="N14" i="3"/>
  <c r="N15" i="3"/>
  <c r="N16" i="3"/>
  <c r="I13" i="3"/>
  <c r="I43" i="3"/>
  <c r="N43" i="3"/>
  <c r="N17" i="3"/>
  <c r="I44" i="3"/>
  <c r="D13" i="3"/>
  <c r="D44" i="3"/>
  <c r="N44" i="3"/>
  <c r="N18" i="3"/>
  <c r="N20" i="3"/>
  <c r="N21" i="3"/>
  <c r="N22" i="3"/>
  <c r="N23" i="3"/>
  <c r="N24" i="3"/>
  <c r="O9" i="3"/>
  <c r="O10" i="3"/>
  <c r="O11" i="3"/>
  <c r="O12" i="3"/>
  <c r="O13" i="3"/>
  <c r="O14" i="3"/>
  <c r="O15" i="3"/>
  <c r="O42" i="3"/>
  <c r="O16" i="3"/>
  <c r="J13" i="3"/>
  <c r="J43" i="3"/>
  <c r="O43" i="3"/>
  <c r="O17" i="3"/>
  <c r="J44" i="3"/>
  <c r="E13" i="3"/>
  <c r="E44" i="3"/>
  <c r="O44" i="3"/>
  <c r="O18" i="3"/>
  <c r="O20" i="3"/>
  <c r="O21" i="3"/>
  <c r="O22" i="3"/>
  <c r="O23" i="3"/>
  <c r="O24" i="3"/>
  <c r="P9" i="3"/>
  <c r="P10" i="3"/>
  <c r="P11" i="3"/>
  <c r="P12" i="3"/>
  <c r="P13" i="3"/>
  <c r="P14" i="3"/>
  <c r="P15" i="3"/>
  <c r="P42" i="3"/>
  <c r="P16" i="3"/>
  <c r="K13" i="3"/>
  <c r="K43" i="3"/>
  <c r="P43" i="3"/>
  <c r="P17" i="3"/>
  <c r="K44" i="3"/>
  <c r="F13" i="3"/>
  <c r="F44" i="3"/>
  <c r="P44" i="3"/>
  <c r="P18" i="3"/>
  <c r="P20" i="3"/>
  <c r="P21" i="3"/>
  <c r="P22" i="3"/>
  <c r="P23" i="3"/>
  <c r="P24" i="3"/>
  <c r="L9" i="3"/>
  <c r="Q9" i="3"/>
  <c r="L10" i="3"/>
  <c r="Q10" i="3"/>
  <c r="L11" i="3"/>
  <c r="Q11" i="3"/>
  <c r="L12" i="3"/>
  <c r="Q12" i="3"/>
  <c r="Q13" i="3"/>
  <c r="Q14" i="3"/>
  <c r="Q15" i="3"/>
  <c r="Q42" i="3"/>
  <c r="Q16" i="3"/>
  <c r="L17" i="3"/>
  <c r="L13" i="3"/>
  <c r="L43" i="3"/>
  <c r="Q43" i="3"/>
  <c r="Q17" i="3"/>
  <c r="L18" i="3"/>
  <c r="L44" i="3"/>
  <c r="G18" i="3"/>
  <c r="G13" i="3"/>
  <c r="G44" i="3"/>
  <c r="Q44" i="3"/>
  <c r="Q18" i="3"/>
  <c r="Q20" i="3"/>
  <c r="L21" i="3"/>
  <c r="Q21" i="3"/>
  <c r="Q22" i="3"/>
  <c r="L23" i="3"/>
  <c r="L14" i="3"/>
  <c r="L15" i="3"/>
  <c r="L16" i="3"/>
  <c r="I19" i="3"/>
  <c r="J19" i="3"/>
  <c r="K19" i="3"/>
  <c r="L19" i="3"/>
  <c r="L20" i="3"/>
  <c r="L22" i="3"/>
  <c r="L47" i="3"/>
  <c r="Q47" i="3"/>
  <c r="Q23" i="3"/>
  <c r="Q24" i="3"/>
  <c r="R24" i="3"/>
  <c r="N25" i="3"/>
  <c r="O25" i="3"/>
  <c r="P25" i="3"/>
  <c r="Q25" i="3"/>
  <c r="R25" i="3"/>
  <c r="R26" i="3"/>
  <c r="N32" i="3"/>
  <c r="O32" i="3"/>
  <c r="P32" i="3"/>
  <c r="Q32" i="3"/>
  <c r="R32" i="3"/>
  <c r="R29" i="3"/>
  <c r="I20" i="8"/>
  <c r="K35" i="8"/>
  <c r="C65" i="32"/>
  <c r="C43" i="32"/>
  <c r="L24" i="1"/>
  <c r="M24" i="1"/>
  <c r="R17" i="3"/>
  <c r="R13" i="3"/>
  <c r="R43" i="3"/>
  <c r="S43" i="3"/>
  <c r="T43" i="3"/>
  <c r="U43" i="3"/>
  <c r="V43" i="3"/>
  <c r="W43" i="3"/>
  <c r="X43" i="3"/>
  <c r="R36" i="3"/>
  <c r="R30" i="3"/>
  <c r="E24" i="1"/>
  <c r="C41" i="32"/>
  <c r="D41" i="32"/>
  <c r="C41" i="10"/>
  <c r="C63" i="32"/>
  <c r="D63" i="32"/>
  <c r="M16" i="16"/>
  <c r="K16" i="16"/>
  <c r="F11" i="16"/>
  <c r="H11" i="16"/>
  <c r="F10" i="16"/>
  <c r="H10" i="16"/>
  <c r="M5" i="16"/>
  <c r="V52" i="32"/>
  <c r="V54" i="32"/>
  <c r="I38" i="8"/>
  <c r="H38" i="8"/>
  <c r="L38" i="8"/>
  <c r="L39" i="8"/>
  <c r="K22" i="8"/>
  <c r="K23" i="8"/>
  <c r="K24" i="8"/>
  <c r="K25" i="8"/>
  <c r="K26" i="8"/>
  <c r="K27" i="8"/>
  <c r="J10" i="8"/>
  <c r="J11" i="8"/>
  <c r="J12" i="8"/>
  <c r="J13" i="8"/>
  <c r="J14" i="8"/>
  <c r="J15" i="8"/>
  <c r="J16" i="8"/>
  <c r="J17" i="8"/>
  <c r="J9" i="8"/>
  <c r="G27" i="8"/>
  <c r="G26" i="8"/>
  <c r="G25" i="8"/>
  <c r="G24" i="8"/>
  <c r="G23" i="8"/>
  <c r="G22" i="8"/>
  <c r="I22" i="8"/>
  <c r="I23" i="8"/>
  <c r="I24" i="8"/>
  <c r="L34" i="8"/>
  <c r="I26" i="8"/>
  <c r="I27" i="8"/>
  <c r="G20" i="8"/>
  <c r="M20" i="8"/>
  <c r="F29" i="32"/>
  <c r="E112" i="34"/>
  <c r="E111" i="34"/>
  <c r="E110" i="34"/>
  <c r="E109" i="34"/>
  <c r="E108" i="34"/>
  <c r="E107" i="34"/>
  <c r="G100" i="34"/>
  <c r="G99" i="34"/>
  <c r="G98" i="34"/>
  <c r="G97" i="34"/>
  <c r="G96" i="34"/>
  <c r="D83" i="34"/>
  <c r="E11" i="6"/>
  <c r="D82" i="34"/>
  <c r="C75" i="34"/>
  <c r="C55" i="34"/>
  <c r="C35" i="34"/>
  <c r="F50" i="34"/>
  <c r="F51" i="34"/>
  <c r="F48" i="34"/>
  <c r="F47" i="34"/>
  <c r="Q46" i="34"/>
  <c r="J46" i="34"/>
  <c r="K46" i="34"/>
  <c r="C38" i="34"/>
  <c r="C58" i="34"/>
  <c r="F30" i="34"/>
  <c r="F31" i="34"/>
  <c r="T28" i="34"/>
  <c r="F28" i="34"/>
  <c r="F27" i="34"/>
  <c r="J26" i="34"/>
  <c r="K26" i="34"/>
  <c r="H26" i="34"/>
  <c r="G26" i="34"/>
  <c r="E112" i="33"/>
  <c r="E111" i="33"/>
  <c r="E107" i="33"/>
  <c r="E108" i="33"/>
  <c r="E109" i="33"/>
  <c r="E110" i="33"/>
  <c r="E114" i="33"/>
  <c r="G100" i="33"/>
  <c r="G99" i="33"/>
  <c r="G98" i="33"/>
  <c r="G97" i="33"/>
  <c r="G96" i="33"/>
  <c r="D83" i="33"/>
  <c r="D82" i="33"/>
  <c r="C55" i="33"/>
  <c r="C35" i="33"/>
  <c r="F50" i="33"/>
  <c r="F51" i="33"/>
  <c r="F48" i="33"/>
  <c r="F47" i="33"/>
  <c r="Q46" i="33"/>
  <c r="J46" i="33"/>
  <c r="K46" i="33"/>
  <c r="H46" i="33"/>
  <c r="G46" i="33"/>
  <c r="C38" i="33"/>
  <c r="C58" i="33"/>
  <c r="F30" i="33"/>
  <c r="F31" i="33"/>
  <c r="T28" i="33"/>
  <c r="H26" i="33"/>
  <c r="G26" i="33"/>
  <c r="F28" i="33"/>
  <c r="F27" i="33"/>
  <c r="J26" i="33"/>
  <c r="K26" i="33"/>
  <c r="E116" i="32"/>
  <c r="E115" i="32"/>
  <c r="E114" i="32"/>
  <c r="E113" i="32"/>
  <c r="E112" i="32"/>
  <c r="E111" i="32"/>
  <c r="G104" i="32"/>
  <c r="G103" i="32"/>
  <c r="G102" i="32"/>
  <c r="G101" i="32"/>
  <c r="G100" i="32"/>
  <c r="D86" i="32"/>
  <c r="F52" i="32"/>
  <c r="F53" i="32"/>
  <c r="F50" i="32"/>
  <c r="F49" i="32"/>
  <c r="Q48" i="32"/>
  <c r="J48" i="32"/>
  <c r="K48" i="32"/>
  <c r="C38" i="32"/>
  <c r="C60" i="32"/>
  <c r="T28" i="32"/>
  <c r="J26" i="32"/>
  <c r="K26" i="32"/>
  <c r="D82" i="10"/>
  <c r="F52" i="31"/>
  <c r="C41" i="33"/>
  <c r="C61" i="10"/>
  <c r="J39" i="8"/>
  <c r="K39" i="8"/>
  <c r="H39" i="8"/>
  <c r="I39" i="8"/>
  <c r="C101" i="33"/>
  <c r="E113" i="33"/>
  <c r="E115" i="33"/>
  <c r="E114" i="34"/>
  <c r="C101" i="34"/>
  <c r="E113" i="34"/>
  <c r="E115" i="34"/>
  <c r="H46" i="34"/>
  <c r="G46" i="34"/>
  <c r="F28" i="32"/>
  <c r="F27" i="32"/>
  <c r="F30" i="32"/>
  <c r="F31" i="32"/>
  <c r="E20" i="8"/>
  <c r="J20" i="8"/>
  <c r="C105" i="32"/>
  <c r="E118" i="32"/>
  <c r="H48" i="32"/>
  <c r="G48" i="32"/>
  <c r="H26" i="32"/>
  <c r="G26" i="32"/>
  <c r="E117" i="32"/>
  <c r="C57" i="32"/>
  <c r="C35" i="32"/>
  <c r="H49" i="31"/>
  <c r="I49" i="31"/>
  <c r="J49" i="31"/>
  <c r="K49" i="31"/>
  <c r="L49" i="31"/>
  <c r="F35" i="31"/>
  <c r="G35" i="31"/>
  <c r="H35" i="31"/>
  <c r="I35" i="31"/>
  <c r="G36" i="31"/>
  <c r="H36" i="31"/>
  <c r="I36" i="31"/>
  <c r="G37" i="31"/>
  <c r="H37" i="31"/>
  <c r="I37" i="31"/>
  <c r="G38" i="31"/>
  <c r="H38" i="31"/>
  <c r="I38" i="31"/>
  <c r="G39" i="31"/>
  <c r="H39" i="31"/>
  <c r="I39" i="31"/>
  <c r="G40" i="31"/>
  <c r="H40" i="31"/>
  <c r="I40" i="31"/>
  <c r="G41" i="31"/>
  <c r="H41" i="31"/>
  <c r="I41" i="31"/>
  <c r="G42" i="31"/>
  <c r="H42" i="31"/>
  <c r="I42" i="31"/>
  <c r="F43" i="31"/>
  <c r="G43" i="31"/>
  <c r="H43" i="31"/>
  <c r="I43" i="31"/>
  <c r="G44" i="31"/>
  <c r="H44" i="31"/>
  <c r="I44" i="31"/>
  <c r="G45" i="31"/>
  <c r="H45" i="31"/>
  <c r="I45" i="31"/>
  <c r="F46" i="31"/>
  <c r="G46" i="31"/>
  <c r="H46" i="31"/>
  <c r="I46" i="31"/>
  <c r="I47" i="31"/>
  <c r="J35" i="31"/>
  <c r="J36" i="31"/>
  <c r="J37" i="31"/>
  <c r="J38" i="31"/>
  <c r="J39" i="31"/>
  <c r="J40" i="31"/>
  <c r="J41" i="31"/>
  <c r="J42" i="31"/>
  <c r="J43" i="31"/>
  <c r="J44" i="31"/>
  <c r="J45" i="31"/>
  <c r="J46" i="31"/>
  <c r="J47" i="31"/>
  <c r="K35" i="31"/>
  <c r="K36" i="31"/>
  <c r="K37" i="31"/>
  <c r="K38" i="31"/>
  <c r="K39" i="31"/>
  <c r="K40" i="31"/>
  <c r="K41" i="31"/>
  <c r="K42" i="31"/>
  <c r="K43" i="31"/>
  <c r="K44" i="31"/>
  <c r="K45" i="31"/>
  <c r="K46" i="31"/>
  <c r="K47" i="31"/>
  <c r="L35" i="31"/>
  <c r="L36" i="31"/>
  <c r="L37" i="31"/>
  <c r="L38" i="31"/>
  <c r="L39" i="31"/>
  <c r="L40" i="31"/>
  <c r="L41" i="31"/>
  <c r="L42" i="31"/>
  <c r="L43" i="31"/>
  <c r="L44" i="31"/>
  <c r="L45" i="31"/>
  <c r="L46" i="31"/>
  <c r="L47" i="31"/>
  <c r="H47" i="31"/>
  <c r="G47" i="31"/>
  <c r="F47" i="31"/>
  <c r="G31" i="31"/>
  <c r="H31" i="31"/>
  <c r="F26" i="31"/>
  <c r="G26" i="31"/>
  <c r="H26" i="31"/>
  <c r="I26" i="31"/>
  <c r="J26" i="31"/>
  <c r="K26" i="31"/>
  <c r="L26" i="31"/>
  <c r="F27" i="31"/>
  <c r="G27" i="31"/>
  <c r="H27" i="31"/>
  <c r="I27" i="31"/>
  <c r="J27" i="31"/>
  <c r="K27" i="31"/>
  <c r="L27" i="31"/>
  <c r="F28" i="31"/>
  <c r="G28" i="31"/>
  <c r="H28" i="31"/>
  <c r="I28" i="31"/>
  <c r="J28" i="31"/>
  <c r="K28" i="31"/>
  <c r="L28" i="31"/>
  <c r="G29" i="31"/>
  <c r="H29" i="31"/>
  <c r="I29" i="31"/>
  <c r="J29" i="31"/>
  <c r="K29" i="31"/>
  <c r="L29" i="31"/>
  <c r="F30" i="31"/>
  <c r="G30" i="31"/>
  <c r="H30" i="31"/>
  <c r="I30" i="31"/>
  <c r="J30" i="31"/>
  <c r="K30" i="31"/>
  <c r="L30" i="31"/>
  <c r="G14" i="31"/>
  <c r="H14" i="31"/>
  <c r="I14" i="31"/>
  <c r="J14" i="31"/>
  <c r="K14" i="31"/>
  <c r="L14" i="31"/>
  <c r="G15" i="31"/>
  <c r="H15" i="31"/>
  <c r="I15" i="31"/>
  <c r="J15" i="31"/>
  <c r="K15" i="31"/>
  <c r="L15" i="31"/>
  <c r="G16" i="31"/>
  <c r="H16" i="31"/>
  <c r="I16" i="31"/>
  <c r="J16" i="31"/>
  <c r="K16" i="31"/>
  <c r="L16" i="31"/>
  <c r="G17" i="31"/>
  <c r="H17" i="31"/>
  <c r="I17" i="31"/>
  <c r="J17" i="31"/>
  <c r="K17" i="31"/>
  <c r="L17" i="31"/>
  <c r="G18" i="31"/>
  <c r="H18" i="31"/>
  <c r="I18" i="31"/>
  <c r="J18" i="31"/>
  <c r="K18" i="31"/>
  <c r="L18" i="31"/>
  <c r="G19" i="31"/>
  <c r="H19" i="31"/>
  <c r="I19" i="31"/>
  <c r="J19" i="31"/>
  <c r="K19" i="31"/>
  <c r="L19" i="31"/>
  <c r="G20" i="31"/>
  <c r="H20" i="31"/>
  <c r="I20" i="31"/>
  <c r="J20" i="31"/>
  <c r="K20" i="31"/>
  <c r="L20" i="31"/>
  <c r="F14" i="31"/>
  <c r="F15" i="31"/>
  <c r="F16" i="31"/>
  <c r="F17" i="31"/>
  <c r="F18" i="31"/>
  <c r="F19" i="31"/>
  <c r="F20" i="31"/>
  <c r="G13" i="31"/>
  <c r="H13" i="31"/>
  <c r="I13" i="31"/>
  <c r="J13" i="31"/>
  <c r="K13" i="31"/>
  <c r="L13" i="31"/>
  <c r="F13" i="31"/>
  <c r="C55" i="10"/>
  <c r="C35" i="10"/>
  <c r="M7" i="16"/>
  <c r="C41" i="34"/>
  <c r="C61" i="34"/>
  <c r="C61" i="33"/>
  <c r="F8" i="16"/>
  <c r="H8" i="16"/>
  <c r="E119" i="32"/>
  <c r="I31" i="31"/>
  <c r="J31" i="31"/>
  <c r="U60" i="3"/>
  <c r="V60" i="3"/>
  <c r="W60" i="3"/>
  <c r="X60" i="3"/>
  <c r="K31" i="31"/>
  <c r="S38" i="3"/>
  <c r="L31" i="31"/>
  <c r="M61" i="3"/>
  <c r="H61" i="3"/>
  <c r="M62" i="3"/>
  <c r="R62" i="3"/>
  <c r="R61" i="3"/>
  <c r="S62" i="3"/>
  <c r="S61" i="3"/>
  <c r="T62" i="3"/>
  <c r="T61" i="3"/>
  <c r="U62" i="3"/>
  <c r="U61" i="3"/>
  <c r="V62" i="3"/>
  <c r="V61" i="3"/>
  <c r="W62" i="3"/>
  <c r="W61" i="3"/>
  <c r="X62" i="3"/>
  <c r="X61" i="3"/>
  <c r="C61" i="3"/>
  <c r="H62" i="3"/>
  <c r="M60" i="3"/>
  <c r="H60" i="3"/>
  <c r="H64" i="3"/>
  <c r="M64" i="3"/>
  <c r="C13" i="3"/>
  <c r="C64" i="3"/>
  <c r="R59" i="3"/>
  <c r="R9" i="3"/>
  <c r="F17" i="6"/>
  <c r="E17" i="6"/>
  <c r="E18" i="6"/>
  <c r="F18" i="6"/>
  <c r="F11" i="6"/>
  <c r="F11" i="31"/>
  <c r="E25" i="7"/>
  <c r="F25" i="7"/>
  <c r="G25" i="7"/>
  <c r="H25" i="7"/>
  <c r="I25" i="7"/>
  <c r="J25" i="7"/>
  <c r="K25" i="7"/>
  <c r="L25" i="7"/>
  <c r="F12" i="5"/>
  <c r="F11" i="7"/>
  <c r="G12" i="5"/>
  <c r="G11" i="7"/>
  <c r="H12" i="5"/>
  <c r="H11" i="7"/>
  <c r="I12" i="5"/>
  <c r="I11" i="7"/>
  <c r="J12" i="5"/>
  <c r="J11" i="7"/>
  <c r="K12" i="5"/>
  <c r="K11" i="7"/>
  <c r="L12" i="5"/>
  <c r="L11" i="7"/>
  <c r="E11" i="7"/>
  <c r="E10" i="7"/>
  <c r="E9" i="7"/>
  <c r="D10" i="6"/>
  <c r="E10" i="6"/>
  <c r="D11" i="6"/>
  <c r="F9" i="6"/>
  <c r="S59" i="3"/>
  <c r="T59" i="3"/>
  <c r="U59" i="3"/>
  <c r="V59" i="3"/>
  <c r="W59" i="3"/>
  <c r="X59" i="3"/>
  <c r="G18" i="6"/>
  <c r="H18" i="6"/>
  <c r="I18" i="6"/>
  <c r="J18" i="6"/>
  <c r="K18" i="6"/>
  <c r="L18" i="6"/>
  <c r="E57" i="5"/>
  <c r="F57" i="5"/>
  <c r="G57" i="5"/>
  <c r="H57" i="5"/>
  <c r="I57" i="5"/>
  <c r="J57" i="5"/>
  <c r="K57" i="5"/>
  <c r="L57" i="5"/>
  <c r="E54" i="5"/>
  <c r="D54" i="5"/>
  <c r="F54" i="5"/>
  <c r="G54" i="5"/>
  <c r="H54" i="5"/>
  <c r="I54" i="5"/>
  <c r="J54" i="5"/>
  <c r="K54" i="5"/>
  <c r="L54" i="5"/>
  <c r="F28" i="5"/>
  <c r="F11" i="5"/>
  <c r="G11" i="5"/>
  <c r="H11" i="5"/>
  <c r="I11" i="5"/>
  <c r="J11" i="5"/>
  <c r="K11" i="5"/>
  <c r="L11" i="5"/>
  <c r="F22" i="5"/>
  <c r="G22" i="5"/>
  <c r="H22" i="5"/>
  <c r="I22" i="5"/>
  <c r="J22" i="5"/>
  <c r="K22" i="5"/>
  <c r="L22" i="5"/>
  <c r="F21" i="5"/>
  <c r="G21" i="5"/>
  <c r="H21" i="5"/>
  <c r="I21" i="5"/>
  <c r="J21" i="5"/>
  <c r="K21" i="5"/>
  <c r="L21" i="5"/>
  <c r="F19" i="5"/>
  <c r="G19" i="5"/>
  <c r="H19" i="5"/>
  <c r="I19" i="5"/>
  <c r="J19" i="5"/>
  <c r="K19" i="5"/>
  <c r="L19" i="5"/>
  <c r="F18" i="5"/>
  <c r="G18" i="5"/>
  <c r="H18" i="5"/>
  <c r="I18" i="5"/>
  <c r="F10" i="5"/>
  <c r="G10" i="5"/>
  <c r="H10" i="5"/>
  <c r="I10" i="5"/>
  <c r="J10" i="5"/>
  <c r="K10" i="5"/>
  <c r="L10" i="5"/>
  <c r="D60" i="5"/>
  <c r="D52" i="5"/>
  <c r="E53" i="5"/>
  <c r="S9" i="3"/>
  <c r="S35" i="3"/>
  <c r="T9" i="3"/>
  <c r="U9" i="3"/>
  <c r="F36" i="5"/>
  <c r="G36" i="5"/>
  <c r="H36" i="5"/>
  <c r="I36" i="5"/>
  <c r="J36" i="5"/>
  <c r="K36" i="5"/>
  <c r="L36" i="5"/>
  <c r="E63" i="5"/>
  <c r="E52" i="5"/>
  <c r="F52" i="5"/>
  <c r="E61" i="5"/>
  <c r="D53" i="5"/>
  <c r="F53" i="5"/>
  <c r="G53" i="5"/>
  <c r="H53" i="5"/>
  <c r="I53" i="5"/>
  <c r="J53" i="5"/>
  <c r="K53" i="5"/>
  <c r="L53" i="5"/>
  <c r="E62" i="5"/>
  <c r="D61" i="5"/>
  <c r="F61" i="5"/>
  <c r="G61" i="5"/>
  <c r="H61" i="5"/>
  <c r="I61" i="5"/>
  <c r="J61" i="5"/>
  <c r="K61" i="5"/>
  <c r="L61" i="5"/>
  <c r="D63" i="5"/>
  <c r="D62" i="5"/>
  <c r="F62" i="5"/>
  <c r="G62" i="5"/>
  <c r="H62" i="5"/>
  <c r="I62" i="5"/>
  <c r="J62" i="5"/>
  <c r="K62" i="5"/>
  <c r="L62" i="5"/>
  <c r="J18" i="5"/>
  <c r="R19" i="3"/>
  <c r="S19" i="3"/>
  <c r="T19" i="3"/>
  <c r="U19" i="3"/>
  <c r="V19" i="3"/>
  <c r="W19" i="3"/>
  <c r="X19" i="3"/>
  <c r="R21" i="3"/>
  <c r="S21" i="3"/>
  <c r="T21" i="3"/>
  <c r="U21" i="3"/>
  <c r="V21" i="3"/>
  <c r="W21" i="3"/>
  <c r="X21" i="3"/>
  <c r="K54" i="3"/>
  <c r="C55" i="3"/>
  <c r="G23" i="3"/>
  <c r="G21" i="3"/>
  <c r="G17" i="3"/>
  <c r="G16" i="3"/>
  <c r="G14" i="3"/>
  <c r="G12" i="3"/>
  <c r="G11" i="3"/>
  <c r="G10" i="3"/>
  <c r="G9" i="3"/>
  <c r="D45" i="5"/>
  <c r="L25" i="3"/>
  <c r="F53" i="3"/>
  <c r="K53" i="3"/>
  <c r="D54" i="3"/>
  <c r="I56" i="3"/>
  <c r="M35" i="3"/>
  <c r="M36" i="3"/>
  <c r="S36" i="3"/>
  <c r="T36" i="3"/>
  <c r="U36" i="3"/>
  <c r="V36" i="3"/>
  <c r="W36" i="3"/>
  <c r="M37" i="3"/>
  <c r="R37" i="3"/>
  <c r="S37" i="3"/>
  <c r="T37" i="3"/>
  <c r="U37" i="3"/>
  <c r="V37" i="3"/>
  <c r="W37" i="3"/>
  <c r="M38" i="3"/>
  <c r="T38" i="3"/>
  <c r="U38" i="3"/>
  <c r="V38" i="3"/>
  <c r="W38" i="3"/>
  <c r="K35" i="3"/>
  <c r="J35" i="3"/>
  <c r="I35" i="3"/>
  <c r="K36" i="3"/>
  <c r="J36" i="3"/>
  <c r="I36" i="3"/>
  <c r="K37" i="3"/>
  <c r="J37" i="3"/>
  <c r="I37" i="3"/>
  <c r="K38" i="3"/>
  <c r="J38" i="3"/>
  <c r="I38" i="3"/>
  <c r="H35" i="3"/>
  <c r="H36" i="3"/>
  <c r="H37" i="3"/>
  <c r="H38" i="3"/>
  <c r="E54" i="3"/>
  <c r="J54" i="3"/>
  <c r="C25" i="3"/>
  <c r="H25" i="3"/>
  <c r="G25" i="3"/>
  <c r="S32" i="3"/>
  <c r="T32" i="3"/>
  <c r="U32" i="3"/>
  <c r="V32" i="3"/>
  <c r="W32" i="3"/>
  <c r="X32" i="3"/>
  <c r="D37" i="5"/>
  <c r="D34" i="5"/>
  <c r="D23" i="5"/>
  <c r="E23" i="5"/>
  <c r="T35" i="3"/>
  <c r="U35" i="3"/>
  <c r="V9" i="3"/>
  <c r="V35" i="3"/>
  <c r="X36" i="3"/>
  <c r="X38" i="3"/>
  <c r="K55" i="3"/>
  <c r="M53" i="3"/>
  <c r="E15" i="6"/>
  <c r="H55" i="3"/>
  <c r="D15" i="6"/>
  <c r="F63" i="5"/>
  <c r="G63" i="5"/>
  <c r="H63" i="5"/>
  <c r="I63" i="5"/>
  <c r="J63" i="5"/>
  <c r="K63" i="5"/>
  <c r="L63" i="5"/>
  <c r="D49" i="5"/>
  <c r="D55" i="5"/>
  <c r="K18" i="5"/>
  <c r="X37" i="3"/>
  <c r="C53" i="3"/>
  <c r="J53" i="3"/>
  <c r="C54" i="3"/>
  <c r="I55" i="3"/>
  <c r="H56" i="3"/>
  <c r="F55" i="3"/>
  <c r="H54" i="3"/>
  <c r="E53" i="3"/>
  <c r="J56" i="3"/>
  <c r="E56" i="3"/>
  <c r="K56" i="3"/>
  <c r="I54" i="3"/>
  <c r="L37" i="3"/>
  <c r="R11" i="3"/>
  <c r="S11" i="3"/>
  <c r="J55" i="3"/>
  <c r="L39" i="3"/>
  <c r="E55" i="3"/>
  <c r="F54" i="3"/>
  <c r="M56" i="3"/>
  <c r="H53" i="3"/>
  <c r="M55" i="3"/>
  <c r="M54" i="3"/>
  <c r="I53" i="3"/>
  <c r="C56" i="3"/>
  <c r="F56" i="3"/>
  <c r="L56" i="3"/>
  <c r="L35" i="3"/>
  <c r="L36" i="3"/>
  <c r="R10" i="3"/>
  <c r="S10" i="3"/>
  <c r="T10" i="3"/>
  <c r="U10" i="3"/>
  <c r="L38" i="3"/>
  <c r="R12" i="3"/>
  <c r="S12" i="3"/>
  <c r="T12" i="3"/>
  <c r="U12" i="3"/>
  <c r="O39" i="3"/>
  <c r="P39" i="3"/>
  <c r="D53" i="3"/>
  <c r="D56" i="3"/>
  <c r="D55" i="3"/>
  <c r="F42" i="3"/>
  <c r="K42" i="3"/>
  <c r="F43" i="3"/>
  <c r="I42" i="3"/>
  <c r="J42" i="3"/>
  <c r="J40" i="3"/>
  <c r="E40" i="3"/>
  <c r="E42" i="3"/>
  <c r="E43" i="3"/>
  <c r="D42" i="3"/>
  <c r="D43" i="3"/>
  <c r="D46" i="5"/>
  <c r="G52" i="5"/>
  <c r="E45" i="5"/>
  <c r="E56" i="5"/>
  <c r="E46" i="5"/>
  <c r="J27" i="8"/>
  <c r="J24" i="8"/>
  <c r="M44" i="3"/>
  <c r="J22" i="8"/>
  <c r="J23" i="8"/>
  <c r="J25" i="8"/>
  <c r="J26" i="8"/>
  <c r="L22" i="8"/>
  <c r="M22" i="8"/>
  <c r="N22" i="8"/>
  <c r="O22" i="8"/>
  <c r="L23" i="8"/>
  <c r="M23" i="8"/>
  <c r="N23" i="8"/>
  <c r="O23" i="8"/>
  <c r="L24" i="8"/>
  <c r="M24" i="8"/>
  <c r="N24" i="8"/>
  <c r="O24" i="8"/>
  <c r="L25" i="8"/>
  <c r="M25" i="8"/>
  <c r="N25" i="8"/>
  <c r="O25" i="8"/>
  <c r="L26" i="8"/>
  <c r="M26" i="8"/>
  <c r="N26" i="8"/>
  <c r="O26" i="8"/>
  <c r="L27" i="8"/>
  <c r="M27" i="8"/>
  <c r="N27" i="8"/>
  <c r="O27" i="8"/>
  <c r="H27" i="8"/>
  <c r="H26" i="8"/>
  <c r="H25" i="8"/>
  <c r="H24" i="8"/>
  <c r="H23" i="8"/>
  <c r="H22" i="8"/>
  <c r="H41" i="3"/>
  <c r="E42" i="5"/>
  <c r="D42" i="5"/>
  <c r="C15" i="3"/>
  <c r="C20" i="3"/>
  <c r="C22" i="3"/>
  <c r="C24" i="3"/>
  <c r="C26" i="3"/>
  <c r="J15" i="3"/>
  <c r="J20" i="3"/>
  <c r="K15" i="3"/>
  <c r="I15" i="3"/>
  <c r="I20" i="3"/>
  <c r="E15" i="3"/>
  <c r="E20" i="3"/>
  <c r="F15" i="3"/>
  <c r="F20" i="3"/>
  <c r="F22" i="3"/>
  <c r="F24" i="3"/>
  <c r="D15" i="3"/>
  <c r="D20" i="3"/>
  <c r="M40" i="3"/>
  <c r="M39" i="3"/>
  <c r="C44" i="3"/>
  <c r="H44" i="3"/>
  <c r="M43" i="3"/>
  <c r="C43" i="3"/>
  <c r="H43" i="3"/>
  <c r="C42" i="3"/>
  <c r="H42" i="3"/>
  <c r="C40" i="3"/>
  <c r="D40" i="3"/>
  <c r="F40" i="3"/>
  <c r="H40" i="3"/>
  <c r="I40" i="3"/>
  <c r="K40" i="3"/>
  <c r="K39" i="3"/>
  <c r="J39" i="3"/>
  <c r="I39" i="3"/>
  <c r="H39" i="3"/>
  <c r="E113" i="10"/>
  <c r="E108" i="10"/>
  <c r="E109" i="10"/>
  <c r="E110" i="10"/>
  <c r="E111" i="10"/>
  <c r="E112" i="10"/>
  <c r="G97" i="10"/>
  <c r="G98" i="10"/>
  <c r="G99" i="10"/>
  <c r="G100" i="10"/>
  <c r="G101" i="10"/>
  <c r="Q46" i="10"/>
  <c r="J46" i="10"/>
  <c r="K46" i="10"/>
  <c r="F50" i="10"/>
  <c r="F51" i="10"/>
  <c r="F48" i="10"/>
  <c r="F47" i="10"/>
  <c r="F30" i="10"/>
  <c r="F31" i="10"/>
  <c r="F28" i="10"/>
  <c r="F27" i="10"/>
  <c r="T28" i="10"/>
  <c r="J26" i="10"/>
  <c r="K26" i="10"/>
  <c r="H26" i="10"/>
  <c r="G26" i="10"/>
  <c r="E115" i="10"/>
  <c r="E114" i="10"/>
  <c r="C102" i="10"/>
  <c r="T11" i="3"/>
  <c r="U11" i="3"/>
  <c r="V11" i="3"/>
  <c r="W11" i="3"/>
  <c r="X9" i="3"/>
  <c r="W9" i="3"/>
  <c r="W35" i="3"/>
  <c r="L40" i="3"/>
  <c r="E49" i="5"/>
  <c r="F49" i="5"/>
  <c r="G49" i="5"/>
  <c r="H49" i="5"/>
  <c r="I49" i="5"/>
  <c r="J49" i="5"/>
  <c r="K49" i="5"/>
  <c r="L49" i="5"/>
  <c r="E55" i="5"/>
  <c r="F55" i="5"/>
  <c r="H52" i="5"/>
  <c r="E51" i="5"/>
  <c r="E64" i="5"/>
  <c r="E14" i="7"/>
  <c r="E50" i="5"/>
  <c r="D50" i="5"/>
  <c r="D51" i="5"/>
  <c r="L18" i="5"/>
  <c r="O56" i="3"/>
  <c r="L55" i="3"/>
  <c r="V12" i="3"/>
  <c r="W12" i="3"/>
  <c r="V10" i="3"/>
  <c r="W10" i="3"/>
  <c r="X10" i="3"/>
  <c r="G15" i="3"/>
  <c r="G20" i="3"/>
  <c r="G45" i="3"/>
  <c r="G53" i="3"/>
  <c r="L41" i="3"/>
  <c r="L54" i="3"/>
  <c r="G43" i="3"/>
  <c r="G40" i="3"/>
  <c r="K20" i="3"/>
  <c r="K22" i="3"/>
  <c r="G42" i="3"/>
  <c r="G55" i="3"/>
  <c r="G56" i="3"/>
  <c r="L42" i="3"/>
  <c r="L53" i="3"/>
  <c r="G54" i="3"/>
  <c r="O55" i="3"/>
  <c r="O53" i="3"/>
  <c r="P41" i="3"/>
  <c r="P56" i="3"/>
  <c r="P53" i="3"/>
  <c r="P54" i="3"/>
  <c r="Q39" i="3"/>
  <c r="O54" i="3"/>
  <c r="O41" i="3"/>
  <c r="P55" i="3"/>
  <c r="I41" i="3"/>
  <c r="C49" i="3"/>
  <c r="F26" i="3"/>
  <c r="F49" i="3"/>
  <c r="C29" i="3"/>
  <c r="C50" i="3"/>
  <c r="M41" i="3"/>
  <c r="K41" i="3"/>
  <c r="F47" i="3"/>
  <c r="O59" i="31"/>
  <c r="P59" i="31"/>
  <c r="D38" i="5"/>
  <c r="E12" i="7"/>
  <c r="D56" i="5"/>
  <c r="F56" i="5"/>
  <c r="J41" i="3"/>
  <c r="E16" i="6"/>
  <c r="F41" i="3"/>
  <c r="C45" i="3"/>
  <c r="G41" i="3"/>
  <c r="F45" i="3"/>
  <c r="F46" i="3"/>
  <c r="J22" i="3"/>
  <c r="J46" i="3"/>
  <c r="J45" i="3"/>
  <c r="E45" i="3"/>
  <c r="E22" i="3"/>
  <c r="E47" i="3"/>
  <c r="D22" i="3"/>
  <c r="D45" i="3"/>
  <c r="E41" i="3"/>
  <c r="D41" i="3"/>
  <c r="I22" i="3"/>
  <c r="I45" i="3"/>
  <c r="C41" i="3"/>
  <c r="K45" i="3"/>
  <c r="H46" i="10"/>
  <c r="G46" i="10"/>
  <c r="C46" i="3"/>
  <c r="F48" i="3"/>
  <c r="C48" i="3"/>
  <c r="C47" i="3"/>
  <c r="D16" i="6"/>
  <c r="E116" i="10"/>
  <c r="X35" i="3"/>
  <c r="E24" i="7"/>
  <c r="F24" i="7"/>
  <c r="G24" i="7"/>
  <c r="H24" i="7"/>
  <c r="I24" i="7"/>
  <c r="J24" i="7"/>
  <c r="K24" i="7"/>
  <c r="L24" i="7"/>
  <c r="E15" i="7"/>
  <c r="E16" i="7"/>
  <c r="E18" i="7"/>
  <c r="F51" i="5"/>
  <c r="G51" i="5"/>
  <c r="H51" i="5"/>
  <c r="X11" i="3"/>
  <c r="X12" i="3"/>
  <c r="F50" i="5"/>
  <c r="G50" i="5"/>
  <c r="G55" i="5"/>
  <c r="H55" i="5"/>
  <c r="I55" i="5"/>
  <c r="J55" i="5"/>
  <c r="K55" i="5"/>
  <c r="L55" i="5"/>
  <c r="D64" i="5"/>
  <c r="D66" i="5"/>
  <c r="I52" i="5"/>
  <c r="E66" i="5"/>
  <c r="E65" i="5"/>
  <c r="S13" i="3"/>
  <c r="K24" i="3"/>
  <c r="K46" i="3"/>
  <c r="K47" i="3"/>
  <c r="Q41" i="3"/>
  <c r="G22" i="3"/>
  <c r="G24" i="3"/>
  <c r="Q53" i="3"/>
  <c r="Q54" i="3"/>
  <c r="Q55" i="3"/>
  <c r="Q56" i="3"/>
  <c r="F29" i="3"/>
  <c r="F50" i="3"/>
  <c r="Q59" i="31"/>
  <c r="G56" i="5"/>
  <c r="H56" i="5"/>
  <c r="H45" i="3"/>
  <c r="J47" i="3"/>
  <c r="J24" i="3"/>
  <c r="D47" i="3"/>
  <c r="D24" i="3"/>
  <c r="D46" i="3"/>
  <c r="P45" i="3"/>
  <c r="E46" i="3"/>
  <c r="E24" i="3"/>
  <c r="I24" i="3"/>
  <c r="I47" i="3"/>
  <c r="I46" i="3"/>
  <c r="O45" i="3"/>
  <c r="F42" i="5"/>
  <c r="G42" i="5"/>
  <c r="H42" i="5"/>
  <c r="I42" i="5"/>
  <c r="J42" i="5"/>
  <c r="K42" i="5"/>
  <c r="L42" i="5"/>
  <c r="C38" i="10"/>
  <c r="C58" i="10"/>
  <c r="G15" i="6"/>
  <c r="F66" i="5"/>
  <c r="G66" i="5"/>
  <c r="H66" i="5"/>
  <c r="I66" i="5"/>
  <c r="J66" i="5"/>
  <c r="K66" i="5"/>
  <c r="L66" i="5"/>
  <c r="D65" i="5"/>
  <c r="F65" i="5"/>
  <c r="G65" i="5"/>
  <c r="H65" i="5"/>
  <c r="I65" i="5"/>
  <c r="J65" i="5"/>
  <c r="K65" i="5"/>
  <c r="L65" i="5"/>
  <c r="J52" i="5"/>
  <c r="H50" i="5"/>
  <c r="I51" i="5"/>
  <c r="S55" i="3"/>
  <c r="S56" i="3"/>
  <c r="S54" i="3"/>
  <c r="G45" i="5"/>
  <c r="S53" i="3"/>
  <c r="T13" i="3"/>
  <c r="G46" i="3"/>
  <c r="K49" i="3"/>
  <c r="K26" i="3"/>
  <c r="K48" i="3"/>
  <c r="G47" i="3"/>
  <c r="Q45" i="3"/>
  <c r="L45" i="3"/>
  <c r="I26" i="3"/>
  <c r="I49" i="3"/>
  <c r="D26" i="3"/>
  <c r="D49" i="3"/>
  <c r="G26" i="3"/>
  <c r="G49" i="3"/>
  <c r="E49" i="3"/>
  <c r="E26" i="3"/>
  <c r="J49" i="3"/>
  <c r="J26" i="3"/>
  <c r="D17" i="5"/>
  <c r="D24" i="5"/>
  <c r="D40" i="5"/>
  <c r="D48" i="5"/>
  <c r="R59" i="31"/>
  <c r="H24" i="3"/>
  <c r="H47" i="3"/>
  <c r="H46" i="3"/>
  <c r="J48" i="3"/>
  <c r="E38" i="5"/>
  <c r="E48" i="3"/>
  <c r="D48" i="3"/>
  <c r="G48" i="3"/>
  <c r="I48" i="3"/>
  <c r="M42" i="3"/>
  <c r="I56" i="5"/>
  <c r="H15" i="6"/>
  <c r="T39" i="3"/>
  <c r="H45" i="5"/>
  <c r="H60" i="5"/>
  <c r="T53" i="3"/>
  <c r="G33" i="5"/>
  <c r="G37" i="5"/>
  <c r="G35" i="5"/>
  <c r="K52" i="5"/>
  <c r="G60" i="5"/>
  <c r="G9" i="7"/>
  <c r="I50" i="5"/>
  <c r="J51" i="5"/>
  <c r="G10" i="6"/>
  <c r="U13" i="3"/>
  <c r="T55" i="3"/>
  <c r="T54" i="3"/>
  <c r="T56" i="3"/>
  <c r="O46" i="3"/>
  <c r="K50" i="3"/>
  <c r="P50" i="3"/>
  <c r="K29" i="3"/>
  <c r="P46" i="3"/>
  <c r="L46" i="3"/>
  <c r="I50" i="3"/>
  <c r="N50" i="3"/>
  <c r="I29" i="3"/>
  <c r="G29" i="3"/>
  <c r="G50" i="3"/>
  <c r="H26" i="3"/>
  <c r="H49" i="3"/>
  <c r="D29" i="3"/>
  <c r="D50" i="3"/>
  <c r="E29" i="3"/>
  <c r="E50" i="3"/>
  <c r="J50" i="3"/>
  <c r="O50" i="3"/>
  <c r="J29" i="3"/>
  <c r="S59" i="31"/>
  <c r="T59" i="31"/>
  <c r="H48" i="3"/>
  <c r="M45" i="3"/>
  <c r="J56" i="5"/>
  <c r="K56" i="5"/>
  <c r="C16" i="34"/>
  <c r="C16" i="33"/>
  <c r="C16" i="32"/>
  <c r="C16" i="10"/>
  <c r="G25" i="31"/>
  <c r="G32" i="31"/>
  <c r="I15" i="6"/>
  <c r="U39" i="3"/>
  <c r="H37" i="5"/>
  <c r="H35" i="5"/>
  <c r="H13" i="5"/>
  <c r="H14" i="5"/>
  <c r="I45" i="5"/>
  <c r="I37" i="5"/>
  <c r="I35" i="5"/>
  <c r="H29" i="5"/>
  <c r="H9" i="7"/>
  <c r="W13" i="3"/>
  <c r="U53" i="3"/>
  <c r="H10" i="6"/>
  <c r="H15" i="5"/>
  <c r="L56" i="5"/>
  <c r="G29" i="5"/>
  <c r="G31" i="5"/>
  <c r="L52" i="5"/>
  <c r="G15" i="5"/>
  <c r="G13" i="5"/>
  <c r="G14" i="5"/>
  <c r="E24" i="5"/>
  <c r="E48" i="5"/>
  <c r="J50" i="5"/>
  <c r="K51" i="5"/>
  <c r="V13" i="3"/>
  <c r="U55" i="3"/>
  <c r="U56" i="3"/>
  <c r="U54" i="3"/>
  <c r="Q46" i="3"/>
  <c r="P48" i="3"/>
  <c r="P26" i="3"/>
  <c r="P29" i="3"/>
  <c r="O48" i="3"/>
  <c r="O26" i="3"/>
  <c r="H50" i="3"/>
  <c r="H29" i="3"/>
  <c r="S47" i="3"/>
  <c r="T47" i="3"/>
  <c r="U47" i="3"/>
  <c r="V47" i="3"/>
  <c r="W47" i="3"/>
  <c r="X47" i="3"/>
  <c r="L24" i="3"/>
  <c r="M46" i="3"/>
  <c r="D16" i="32"/>
  <c r="D16" i="34"/>
  <c r="D16" i="33"/>
  <c r="D16" i="10"/>
  <c r="H25" i="31"/>
  <c r="H32" i="31"/>
  <c r="J15" i="6"/>
  <c r="J10" i="6"/>
  <c r="V39" i="3"/>
  <c r="W53" i="3"/>
  <c r="W39" i="3"/>
  <c r="J45" i="5"/>
  <c r="J60" i="5"/>
  <c r="J15" i="5"/>
  <c r="I60" i="5"/>
  <c r="I29" i="5"/>
  <c r="K15" i="6"/>
  <c r="K45" i="5"/>
  <c r="W54" i="3"/>
  <c r="W55" i="3"/>
  <c r="W56" i="3"/>
  <c r="X13" i="3"/>
  <c r="H31" i="5"/>
  <c r="G32" i="5"/>
  <c r="K50" i="5"/>
  <c r="L51" i="5"/>
  <c r="V56" i="3"/>
  <c r="V54" i="3"/>
  <c r="V55" i="3"/>
  <c r="V53" i="3"/>
  <c r="Q48" i="3"/>
  <c r="I10" i="6"/>
  <c r="O29" i="3"/>
  <c r="M49" i="3"/>
  <c r="S49" i="3"/>
  <c r="L48" i="3"/>
  <c r="L26" i="3"/>
  <c r="L49" i="3"/>
  <c r="M48" i="3"/>
  <c r="O46" i="5"/>
  <c r="E40" i="5"/>
  <c r="E16" i="32"/>
  <c r="E16" i="34"/>
  <c r="E16" i="33"/>
  <c r="I25" i="31"/>
  <c r="I32" i="31"/>
  <c r="E16" i="10"/>
  <c r="F16" i="32"/>
  <c r="F16" i="34"/>
  <c r="F16" i="33"/>
  <c r="F16" i="10"/>
  <c r="J25" i="31"/>
  <c r="J32" i="31"/>
  <c r="X53" i="3"/>
  <c r="X39" i="3"/>
  <c r="J37" i="5"/>
  <c r="J35" i="5"/>
  <c r="I13" i="5"/>
  <c r="I14" i="5"/>
  <c r="I9" i="7"/>
  <c r="I15" i="5"/>
  <c r="J29" i="5"/>
  <c r="J9" i="7"/>
  <c r="J13" i="5"/>
  <c r="L15" i="6"/>
  <c r="L10" i="6"/>
  <c r="L45" i="5"/>
  <c r="X54" i="3"/>
  <c r="X56" i="3"/>
  <c r="X55" i="3"/>
  <c r="K60" i="5"/>
  <c r="K9" i="7"/>
  <c r="K37" i="5"/>
  <c r="K35" i="5"/>
  <c r="J14" i="5"/>
  <c r="K10" i="6"/>
  <c r="I31" i="5"/>
  <c r="H32" i="5"/>
  <c r="L50" i="5"/>
  <c r="Q26" i="3"/>
  <c r="Q29" i="3"/>
  <c r="T49" i="3"/>
  <c r="M50" i="3"/>
  <c r="R50" i="3"/>
  <c r="S50" i="3"/>
  <c r="T50" i="3"/>
  <c r="U50" i="3"/>
  <c r="V50" i="3"/>
  <c r="W50" i="3"/>
  <c r="X50" i="3"/>
  <c r="L50" i="3"/>
  <c r="Q50" i="3"/>
  <c r="L29" i="3"/>
  <c r="G16" i="34"/>
  <c r="G16" i="33"/>
  <c r="G16" i="32"/>
  <c r="K25" i="31"/>
  <c r="K32" i="31"/>
  <c r="G16" i="10"/>
  <c r="H16" i="34"/>
  <c r="H16" i="32"/>
  <c r="H16" i="33"/>
  <c r="L25" i="31"/>
  <c r="L32" i="31"/>
  <c r="H16" i="10"/>
  <c r="L60" i="5"/>
  <c r="L9" i="7"/>
  <c r="L37" i="5"/>
  <c r="L35" i="5"/>
  <c r="K14" i="5"/>
  <c r="K13" i="5"/>
  <c r="K15" i="5"/>
  <c r="K29" i="5"/>
  <c r="J31" i="5"/>
  <c r="I32" i="5"/>
  <c r="U49" i="3"/>
  <c r="L14" i="5"/>
  <c r="L13" i="5"/>
  <c r="L15" i="5"/>
  <c r="L29" i="5"/>
  <c r="K31" i="5"/>
  <c r="J32" i="5"/>
  <c r="V49" i="3"/>
  <c r="W49" i="3"/>
  <c r="X49" i="3"/>
  <c r="L31" i="5"/>
  <c r="K32" i="5"/>
  <c r="L32" i="5"/>
  <c r="N56" i="3"/>
  <c r="N55" i="3"/>
  <c r="N54" i="3"/>
  <c r="N39" i="3"/>
  <c r="R18" i="3"/>
  <c r="R16" i="3"/>
  <c r="R14" i="3"/>
  <c r="N53" i="3"/>
  <c r="R15" i="3"/>
  <c r="R41" i="3"/>
  <c r="S41" i="3"/>
  <c r="T41" i="3"/>
  <c r="U41" i="3"/>
  <c r="V41" i="3"/>
  <c r="W41" i="3"/>
  <c r="X41" i="3"/>
  <c r="R44" i="3"/>
  <c r="S44" i="3"/>
  <c r="T44" i="3"/>
  <c r="U44" i="3"/>
  <c r="V44" i="3"/>
  <c r="W44" i="3"/>
  <c r="X44" i="3"/>
  <c r="F46" i="5"/>
  <c r="R40" i="3"/>
  <c r="S40" i="3"/>
  <c r="R39" i="3"/>
  <c r="F45" i="5"/>
  <c r="S39" i="3"/>
  <c r="R56" i="3"/>
  <c r="R53" i="3"/>
  <c r="R54" i="3"/>
  <c r="F15" i="6"/>
  <c r="F10" i="6"/>
  <c r="R55" i="3"/>
  <c r="R42" i="3"/>
  <c r="S42" i="3"/>
  <c r="N45" i="3"/>
  <c r="N41" i="3"/>
  <c r="S16" i="3"/>
  <c r="T42" i="3"/>
  <c r="S14" i="3"/>
  <c r="T40" i="3"/>
  <c r="F16" i="5"/>
  <c r="F10" i="7"/>
  <c r="F64" i="5"/>
  <c r="F33" i="5"/>
  <c r="F60" i="5"/>
  <c r="F37" i="5"/>
  <c r="F25" i="31"/>
  <c r="F32" i="31"/>
  <c r="F12" i="6"/>
  <c r="S17" i="3"/>
  <c r="R22" i="3"/>
  <c r="R20" i="3"/>
  <c r="R45" i="3"/>
  <c r="S45" i="3"/>
  <c r="T45" i="3"/>
  <c r="U45" i="3"/>
  <c r="V45" i="3"/>
  <c r="W45" i="3"/>
  <c r="X45" i="3"/>
  <c r="T17" i="3"/>
  <c r="F20" i="5"/>
  <c r="G9" i="6"/>
  <c r="T14" i="3"/>
  <c r="U40" i="3"/>
  <c r="G46" i="5"/>
  <c r="S15" i="3"/>
  <c r="F13" i="5"/>
  <c r="F29" i="5"/>
  <c r="F14" i="5"/>
  <c r="F31" i="5"/>
  <c r="F9" i="7"/>
  <c r="F12" i="7"/>
  <c r="F15" i="5"/>
  <c r="T16" i="3"/>
  <c r="U42" i="3"/>
  <c r="F35" i="5"/>
  <c r="F14" i="7"/>
  <c r="F27" i="5"/>
  <c r="F26" i="5"/>
  <c r="R23" i="3"/>
  <c r="F21" i="31"/>
  <c r="N46" i="3"/>
  <c r="U16" i="3"/>
  <c r="V42" i="3"/>
  <c r="H46" i="5"/>
  <c r="T15" i="3"/>
  <c r="F10" i="31"/>
  <c r="R46" i="3"/>
  <c r="S46" i="3"/>
  <c r="T46" i="3"/>
  <c r="U46" i="3"/>
  <c r="V46" i="3"/>
  <c r="W46" i="3"/>
  <c r="X46" i="3"/>
  <c r="S18" i="3"/>
  <c r="S20" i="3"/>
  <c r="G64" i="5"/>
  <c r="G16" i="5"/>
  <c r="G10" i="7"/>
  <c r="G12" i="7"/>
  <c r="F23" i="5"/>
  <c r="G17" i="6"/>
  <c r="G11" i="6"/>
  <c r="G12" i="6"/>
  <c r="F22" i="7"/>
  <c r="U14" i="3"/>
  <c r="V40" i="3"/>
  <c r="F32" i="5"/>
  <c r="F34" i="5"/>
  <c r="F38" i="5"/>
  <c r="U17" i="3"/>
  <c r="F22" i="31"/>
  <c r="F50" i="31"/>
  <c r="F53" i="31"/>
  <c r="F9" i="5"/>
  <c r="F17" i="5"/>
  <c r="F24" i="5"/>
  <c r="F40" i="5"/>
  <c r="C12" i="34"/>
  <c r="C12" i="32"/>
  <c r="C12" i="10"/>
  <c r="C12" i="33"/>
  <c r="S22" i="3"/>
  <c r="H9" i="6"/>
  <c r="G20" i="5"/>
  <c r="V14" i="3"/>
  <c r="W40" i="3"/>
  <c r="T18" i="3"/>
  <c r="T20" i="3"/>
  <c r="H16" i="5"/>
  <c r="H10" i="7"/>
  <c r="H12" i="7"/>
  <c r="H64" i="5"/>
  <c r="G11" i="31"/>
  <c r="C11" i="33"/>
  <c r="C15" i="33"/>
  <c r="C11" i="32"/>
  <c r="C15" i="32"/>
  <c r="C11" i="34"/>
  <c r="C15" i="34"/>
  <c r="C11" i="10"/>
  <c r="C15" i="10"/>
  <c r="F23" i="7"/>
  <c r="F15" i="7"/>
  <c r="F16" i="7"/>
  <c r="F18" i="7"/>
  <c r="F19" i="7"/>
  <c r="G27" i="5"/>
  <c r="G26" i="5"/>
  <c r="G14" i="7"/>
  <c r="V16" i="3"/>
  <c r="W42" i="3"/>
  <c r="V17" i="3"/>
  <c r="U15" i="3"/>
  <c r="I46" i="5"/>
  <c r="N48" i="3"/>
  <c r="G52" i="31"/>
  <c r="G34" i="5"/>
  <c r="G38" i="5"/>
  <c r="G22" i="7"/>
  <c r="N26" i="3"/>
  <c r="N29" i="3"/>
  <c r="H17" i="6"/>
  <c r="H11" i="6"/>
  <c r="H12" i="6"/>
  <c r="G23" i="5"/>
  <c r="U18" i="3"/>
  <c r="U20" i="3"/>
  <c r="H27" i="5"/>
  <c r="H14" i="7"/>
  <c r="H26" i="5"/>
  <c r="G10" i="31"/>
  <c r="S23" i="3"/>
  <c r="S24" i="3"/>
  <c r="I64" i="5"/>
  <c r="I16" i="5"/>
  <c r="I10" i="7"/>
  <c r="I12" i="7"/>
  <c r="W14" i="3"/>
  <c r="X40" i="3"/>
  <c r="X14" i="3"/>
  <c r="C10" i="33"/>
  <c r="W17" i="3"/>
  <c r="X17" i="3"/>
  <c r="V15" i="3"/>
  <c r="J46" i="5"/>
  <c r="C10" i="10"/>
  <c r="T22" i="3"/>
  <c r="D12" i="34"/>
  <c r="D12" i="33"/>
  <c r="D12" i="10"/>
  <c r="D12" i="32"/>
  <c r="R48" i="3"/>
  <c r="C10" i="32"/>
  <c r="W16" i="3"/>
  <c r="X42" i="3"/>
  <c r="X16" i="3"/>
  <c r="C10" i="34"/>
  <c r="H34" i="5"/>
  <c r="H38" i="5"/>
  <c r="S48" i="3"/>
  <c r="S25" i="3"/>
  <c r="S26" i="3"/>
  <c r="S29" i="3"/>
  <c r="E12" i="34"/>
  <c r="E12" i="10"/>
  <c r="E12" i="32"/>
  <c r="E12" i="33"/>
  <c r="U22" i="3"/>
  <c r="G21" i="31"/>
  <c r="G22" i="31"/>
  <c r="G50" i="31"/>
  <c r="G53" i="31"/>
  <c r="G9" i="5"/>
  <c r="C13" i="32"/>
  <c r="C14" i="32"/>
  <c r="C13" i="10"/>
  <c r="C14" i="10"/>
  <c r="C13" i="33"/>
  <c r="C14" i="33"/>
  <c r="C13" i="34"/>
  <c r="C14" i="34"/>
  <c r="I9" i="6"/>
  <c r="H20" i="5"/>
  <c r="T23" i="3"/>
  <c r="T24" i="3"/>
  <c r="H10" i="31"/>
  <c r="H11" i="31"/>
  <c r="D11" i="10"/>
  <c r="D15" i="10"/>
  <c r="D11" i="34"/>
  <c r="D15" i="34"/>
  <c r="D11" i="33"/>
  <c r="D15" i="33"/>
  <c r="D11" i="32"/>
  <c r="D15" i="32"/>
  <c r="K46" i="5"/>
  <c r="W15" i="3"/>
  <c r="H22" i="7"/>
  <c r="I14" i="7"/>
  <c r="I26" i="5"/>
  <c r="I27" i="5"/>
  <c r="J35" i="8"/>
  <c r="I35" i="8"/>
  <c r="H35" i="8"/>
  <c r="F7" i="16"/>
  <c r="L35" i="8"/>
  <c r="J64" i="5"/>
  <c r="J16" i="5"/>
  <c r="J10" i="7"/>
  <c r="J12" i="7"/>
  <c r="D10" i="34"/>
  <c r="L46" i="5"/>
  <c r="X15" i="3"/>
  <c r="V18" i="3"/>
  <c r="V20" i="3"/>
  <c r="G23" i="7"/>
  <c r="G15" i="7"/>
  <c r="G16" i="7"/>
  <c r="G18" i="7"/>
  <c r="G19" i="7"/>
  <c r="H7" i="16"/>
  <c r="D10" i="32"/>
  <c r="J31" i="8"/>
  <c r="M6" i="16"/>
  <c r="M8" i="16"/>
  <c r="V22" i="3"/>
  <c r="F12" i="10"/>
  <c r="F12" i="33"/>
  <c r="F12" i="34"/>
  <c r="F12" i="32"/>
  <c r="H23" i="7"/>
  <c r="H15" i="7"/>
  <c r="H16" i="7"/>
  <c r="H18" i="7"/>
  <c r="H19" i="7"/>
  <c r="W18" i="3"/>
  <c r="W20" i="3"/>
  <c r="X18" i="3"/>
  <c r="X20" i="3"/>
  <c r="L16" i="5"/>
  <c r="L10" i="7"/>
  <c r="L12" i="7"/>
  <c r="L64" i="5"/>
  <c r="H52" i="31"/>
  <c r="G17" i="5"/>
  <c r="G24" i="5"/>
  <c r="G40" i="5"/>
  <c r="T25" i="3"/>
  <c r="T26" i="3"/>
  <c r="T29" i="3"/>
  <c r="T48" i="3"/>
  <c r="I10" i="31"/>
  <c r="U23" i="3"/>
  <c r="K16" i="5"/>
  <c r="K10" i="7"/>
  <c r="K12" i="7"/>
  <c r="K64" i="5"/>
  <c r="D10" i="10"/>
  <c r="D13" i="10"/>
  <c r="D14" i="10"/>
  <c r="H21" i="31"/>
  <c r="H22" i="31"/>
  <c r="H50" i="31"/>
  <c r="D13" i="32"/>
  <c r="D14" i="32"/>
  <c r="D13" i="34"/>
  <c r="D14" i="34"/>
  <c r="D13" i="33"/>
  <c r="D14" i="33"/>
  <c r="I34" i="5"/>
  <c r="I38" i="5"/>
  <c r="C17" i="10"/>
  <c r="C18" i="10"/>
  <c r="C20" i="10"/>
  <c r="C17" i="33"/>
  <c r="C18" i="33"/>
  <c r="C20" i="33"/>
  <c r="C17" i="34"/>
  <c r="C18" i="34"/>
  <c r="C20" i="34"/>
  <c r="C17" i="32"/>
  <c r="C18" i="32"/>
  <c r="C20" i="32"/>
  <c r="J14" i="7"/>
  <c r="J26" i="5"/>
  <c r="J27" i="5"/>
  <c r="I22" i="7"/>
  <c r="H23" i="5"/>
  <c r="I17" i="6"/>
  <c r="I11" i="6"/>
  <c r="I12" i="6"/>
  <c r="D10" i="33"/>
  <c r="H53" i="31"/>
  <c r="H9" i="5"/>
  <c r="H17" i="5"/>
  <c r="H24" i="5"/>
  <c r="H40" i="5"/>
  <c r="J34" i="5"/>
  <c r="J38" i="5"/>
  <c r="D17" i="32"/>
  <c r="D17" i="33"/>
  <c r="D18" i="33"/>
  <c r="D20" i="33"/>
  <c r="D17" i="10"/>
  <c r="D18" i="10"/>
  <c r="D20" i="10"/>
  <c r="D17" i="34"/>
  <c r="D18" i="34"/>
  <c r="D20" i="34"/>
  <c r="K14" i="7"/>
  <c r="K26" i="5"/>
  <c r="K27" i="5"/>
  <c r="I20" i="5"/>
  <c r="J9" i="6"/>
  <c r="W22" i="3"/>
  <c r="G12" i="34"/>
  <c r="G12" i="10"/>
  <c r="G12" i="32"/>
  <c r="G12" i="33"/>
  <c r="E13" i="34"/>
  <c r="E14" i="34"/>
  <c r="E13" i="10"/>
  <c r="E14" i="10"/>
  <c r="E13" i="33"/>
  <c r="E14" i="33"/>
  <c r="I21" i="31"/>
  <c r="E13" i="32"/>
  <c r="E14" i="32"/>
  <c r="H12" i="33"/>
  <c r="H12" i="34"/>
  <c r="X22" i="3"/>
  <c r="H12" i="10"/>
  <c r="H12" i="32"/>
  <c r="U24" i="3"/>
  <c r="V23" i="3"/>
  <c r="V24" i="3"/>
  <c r="J10" i="31"/>
  <c r="D18" i="32"/>
  <c r="D20" i="32"/>
  <c r="F16" i="16"/>
  <c r="H16" i="16"/>
  <c r="F15" i="16"/>
  <c r="H15" i="16"/>
  <c r="E11" i="10"/>
  <c r="I11" i="31"/>
  <c r="E11" i="32"/>
  <c r="E11" i="33"/>
  <c r="E11" i="34"/>
  <c r="L14" i="7"/>
  <c r="L27" i="5"/>
  <c r="L26" i="5"/>
  <c r="J22" i="7"/>
  <c r="I23" i="7"/>
  <c r="I15" i="7"/>
  <c r="I16" i="7"/>
  <c r="I18" i="7"/>
  <c r="I19" i="7"/>
  <c r="I52" i="31"/>
  <c r="I22" i="31"/>
  <c r="I50" i="31"/>
  <c r="K34" i="5"/>
  <c r="K38" i="5"/>
  <c r="L34" i="5"/>
  <c r="L38" i="5"/>
  <c r="E17" i="33"/>
  <c r="E17" i="10"/>
  <c r="E17" i="34"/>
  <c r="E17" i="32"/>
  <c r="V25" i="3"/>
  <c r="V26" i="3"/>
  <c r="V29" i="3"/>
  <c r="V48" i="3"/>
  <c r="K22" i="7"/>
  <c r="E15" i="10"/>
  <c r="E10" i="10"/>
  <c r="L22" i="7"/>
  <c r="L10" i="31"/>
  <c r="X23" i="3"/>
  <c r="X24" i="3"/>
  <c r="U25" i="3"/>
  <c r="U26" i="3"/>
  <c r="U29" i="3"/>
  <c r="U48" i="3"/>
  <c r="J17" i="6"/>
  <c r="J11" i="6"/>
  <c r="I23" i="5"/>
  <c r="F13" i="32"/>
  <c r="F14" i="32"/>
  <c r="F13" i="34"/>
  <c r="F14" i="34"/>
  <c r="F13" i="10"/>
  <c r="F14" i="10"/>
  <c r="F13" i="33"/>
  <c r="F14" i="33"/>
  <c r="J21" i="31"/>
  <c r="J23" i="7"/>
  <c r="J15" i="7"/>
  <c r="J16" i="7"/>
  <c r="J18" i="7"/>
  <c r="J19" i="7"/>
  <c r="E15" i="34"/>
  <c r="E10" i="34"/>
  <c r="E15" i="33"/>
  <c r="E18" i="33"/>
  <c r="E20" i="33"/>
  <c r="E10" i="33"/>
  <c r="E15" i="32"/>
  <c r="E10" i="32"/>
  <c r="K10" i="31"/>
  <c r="W23" i="3"/>
  <c r="W24" i="3"/>
  <c r="I53" i="31"/>
  <c r="I9" i="5"/>
  <c r="I17" i="5"/>
  <c r="I24" i="5"/>
  <c r="I40" i="5"/>
  <c r="E18" i="10"/>
  <c r="E20" i="10"/>
  <c r="E18" i="34"/>
  <c r="E20" i="34"/>
  <c r="E18" i="32"/>
  <c r="E20" i="32"/>
  <c r="X48" i="3"/>
  <c r="X25" i="3"/>
  <c r="X26" i="3"/>
  <c r="X29" i="3"/>
  <c r="F11" i="34"/>
  <c r="F11" i="32"/>
  <c r="F11" i="33"/>
  <c r="F11" i="10"/>
  <c r="J11" i="31"/>
  <c r="J22" i="31"/>
  <c r="J50" i="31"/>
  <c r="K23" i="7"/>
  <c r="K15" i="7"/>
  <c r="K16" i="7"/>
  <c r="K18" i="7"/>
  <c r="K19" i="7"/>
  <c r="L21" i="31"/>
  <c r="H13" i="33"/>
  <c r="H14" i="33"/>
  <c r="H13" i="32"/>
  <c r="H14" i="32"/>
  <c r="H13" i="34"/>
  <c r="H14" i="34"/>
  <c r="H13" i="10"/>
  <c r="H14" i="10"/>
  <c r="F17" i="10"/>
  <c r="F17" i="33"/>
  <c r="F17" i="34"/>
  <c r="F17" i="32"/>
  <c r="W25" i="3"/>
  <c r="W26" i="3"/>
  <c r="W29" i="3"/>
  <c r="W48" i="3"/>
  <c r="G13" i="33"/>
  <c r="G14" i="33"/>
  <c r="G13" i="32"/>
  <c r="G14" i="32"/>
  <c r="G13" i="34"/>
  <c r="G14" i="34"/>
  <c r="G13" i="10"/>
  <c r="G14" i="10"/>
  <c r="K21" i="31"/>
  <c r="J12" i="6"/>
  <c r="L23" i="7"/>
  <c r="L15" i="7"/>
  <c r="L16" i="7"/>
  <c r="L18" i="7"/>
  <c r="J52" i="31"/>
  <c r="J53" i="31"/>
  <c r="J9" i="5"/>
  <c r="J17" i="5"/>
  <c r="L19" i="7"/>
  <c r="H17" i="33"/>
  <c r="G17" i="10"/>
  <c r="G17" i="34"/>
  <c r="G17" i="33"/>
  <c r="G17" i="32"/>
  <c r="F15" i="10"/>
  <c r="F18" i="10"/>
  <c r="F20" i="10"/>
  <c r="F10" i="10"/>
  <c r="F15" i="33"/>
  <c r="F18" i="33"/>
  <c r="F20" i="33"/>
  <c r="F10" i="33"/>
  <c r="F15" i="32"/>
  <c r="F18" i="32"/>
  <c r="F20" i="32"/>
  <c r="F10" i="32"/>
  <c r="K9" i="6"/>
  <c r="J20" i="5"/>
  <c r="F15" i="34"/>
  <c r="F18" i="34"/>
  <c r="F20" i="34"/>
  <c r="F10" i="34"/>
  <c r="K52" i="31"/>
  <c r="H17" i="34"/>
  <c r="H17" i="10"/>
  <c r="H17" i="32"/>
  <c r="K17" i="6"/>
  <c r="K11" i="6"/>
  <c r="J23" i="5"/>
  <c r="J24" i="5"/>
  <c r="J40" i="5"/>
  <c r="G11" i="10"/>
  <c r="G11" i="33"/>
  <c r="K11" i="31"/>
  <c r="K22" i="31"/>
  <c r="K50" i="31"/>
  <c r="K53" i="31"/>
  <c r="K9" i="5"/>
  <c r="G11" i="32"/>
  <c r="G11" i="34"/>
  <c r="K12" i="6"/>
  <c r="G15" i="34"/>
  <c r="G18" i="34"/>
  <c r="G20" i="34"/>
  <c r="G10" i="34"/>
  <c r="L9" i="6"/>
  <c r="K20" i="5"/>
  <c r="G15" i="32"/>
  <c r="G18" i="32"/>
  <c r="G20" i="32"/>
  <c r="G10" i="32"/>
  <c r="G15" i="33"/>
  <c r="G18" i="33"/>
  <c r="G20" i="33"/>
  <c r="G10" i="33"/>
  <c r="L52" i="31"/>
  <c r="K17" i="5"/>
  <c r="G15" i="10"/>
  <c r="G18" i="10"/>
  <c r="G20" i="10"/>
  <c r="G10" i="10"/>
  <c r="K23" i="5"/>
  <c r="K24" i="5"/>
  <c r="K40" i="5"/>
  <c r="L17" i="6"/>
  <c r="L11" i="6"/>
  <c r="L11" i="31"/>
  <c r="L22" i="31"/>
  <c r="L50" i="31"/>
  <c r="L53" i="31"/>
  <c r="L9" i="5"/>
  <c r="L17" i="5"/>
  <c r="H11" i="33"/>
  <c r="H11" i="34"/>
  <c r="H11" i="32"/>
  <c r="H11" i="10"/>
  <c r="L12" i="6"/>
  <c r="L20" i="5"/>
  <c r="L23" i="5"/>
  <c r="L24" i="5"/>
  <c r="L40" i="5"/>
  <c r="H15" i="32"/>
  <c r="H18" i="32"/>
  <c r="H10" i="32"/>
  <c r="C50" i="32"/>
  <c r="C52" i="32"/>
  <c r="C54" i="32"/>
  <c r="H15" i="10"/>
  <c r="H18" i="10"/>
  <c r="H10" i="10"/>
  <c r="C48" i="10"/>
  <c r="C50" i="10"/>
  <c r="C52" i="10"/>
  <c r="H15" i="34"/>
  <c r="H18" i="34"/>
  <c r="H10" i="34"/>
  <c r="C48" i="34"/>
  <c r="C50" i="34"/>
  <c r="C52" i="34"/>
  <c r="H15" i="33"/>
  <c r="H18" i="33"/>
  <c r="H10" i="33"/>
  <c r="C48" i="33"/>
  <c r="C50" i="33"/>
  <c r="C52" i="33"/>
  <c r="H20" i="33"/>
  <c r="I21" i="33"/>
  <c r="C28" i="33"/>
  <c r="C30" i="33"/>
  <c r="H20" i="34"/>
  <c r="I21" i="34"/>
  <c r="C28" i="34"/>
  <c r="C30" i="34"/>
  <c r="H20" i="10"/>
  <c r="I21" i="10"/>
  <c r="C28" i="10"/>
  <c r="C30" i="10"/>
  <c r="H20" i="32"/>
  <c r="I21" i="32"/>
  <c r="C28" i="32"/>
  <c r="C30" i="32"/>
  <c r="C32" i="34"/>
  <c r="C34" i="34"/>
  <c r="C36" i="34"/>
  <c r="C40" i="34"/>
  <c r="C42" i="34"/>
  <c r="F26" i="34"/>
  <c r="C46" i="34"/>
  <c r="C54" i="34"/>
  <c r="C56" i="34"/>
  <c r="C60" i="34"/>
  <c r="C62" i="34"/>
  <c r="F46" i="34"/>
  <c r="C26" i="34"/>
  <c r="C48" i="32"/>
  <c r="C56" i="32"/>
  <c r="C58" i="32"/>
  <c r="C62" i="32"/>
  <c r="C66" i="32"/>
  <c r="C26" i="32"/>
  <c r="C32" i="32"/>
  <c r="C34" i="32"/>
  <c r="C36" i="32"/>
  <c r="C40" i="32"/>
  <c r="C44" i="32"/>
  <c r="F26" i="32"/>
  <c r="C34" i="33"/>
  <c r="C36" i="33"/>
  <c r="C40" i="33"/>
  <c r="C42" i="33"/>
  <c r="F26" i="33"/>
  <c r="C32" i="33"/>
  <c r="C32" i="10"/>
  <c r="C34" i="10"/>
  <c r="C36" i="10"/>
  <c r="C40" i="10"/>
  <c r="C42" i="10"/>
  <c r="F26" i="10"/>
  <c r="C46" i="10"/>
  <c r="C54" i="10"/>
  <c r="C56" i="10"/>
  <c r="C60" i="10"/>
  <c r="C26" i="10"/>
  <c r="C46" i="33"/>
  <c r="C54" i="33"/>
  <c r="C56" i="33"/>
  <c r="C60" i="33"/>
  <c r="C62" i="33"/>
  <c r="F46" i="33"/>
  <c r="C26" i="33"/>
  <c r="D66" i="32"/>
  <c r="C64" i="32"/>
  <c r="C42" i="32"/>
  <c r="D44" i="32"/>
  <c r="F48" i="32"/>
  <c r="C62" i="10"/>
  <c r="F46" i="10"/>
</calcChain>
</file>

<file path=xl/comments1.xml><?xml version="1.0" encoding="utf-8"?>
<comments xmlns="http://schemas.openxmlformats.org/spreadsheetml/2006/main">
  <authors>
    <author>Retcher, Ethan Michael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Comment Example</t>
        </r>
      </text>
    </comment>
  </commentList>
</comments>
</file>

<file path=xl/comments2.xml><?xml version="1.0" encoding="utf-8"?>
<comments xmlns="http://schemas.openxmlformats.org/spreadsheetml/2006/main">
  <authors>
    <author>Retcher, Ethan Michael</author>
    <author>Miami University User</author>
  </authors>
  <commentList>
    <comment ref="I19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plug to make the model work
</t>
        </r>
      </text>
    </comment>
    <comment ref="J19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plug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plug
</t>
        </r>
      </text>
    </comment>
    <comment ref="L19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plug</t>
        </r>
      </text>
    </comment>
    <comment ref="N19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zeroed out</t>
        </r>
      </text>
    </comment>
    <comment ref="N21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Flatline
</t>
        </r>
      </text>
    </comment>
    <comment ref="N40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Margins are using previous 2 years data
</t>
        </r>
      </text>
    </comment>
    <comment ref="X53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Obviously this isn't right, so the above growth rates need to be adjusted</t>
        </r>
      </text>
    </comment>
    <comment ref="M59" authorId="1">
      <text>
        <r>
          <rPr>
            <b/>
            <sz val="9"/>
            <color indexed="81"/>
            <rFont val="Tahoma"/>
            <family val="2"/>
          </rPr>
          <t>Miami University User:</t>
        </r>
        <r>
          <rPr>
            <sz val="9"/>
            <color indexed="81"/>
            <rFont val="Tahoma"/>
            <family val="2"/>
          </rPr>
          <t xml:space="preserve">
Let's use this as our main revenue driver</t>
        </r>
      </text>
    </comment>
    <comment ref="R60" authorId="1">
      <text>
        <r>
          <rPr>
            <b/>
            <sz val="9"/>
            <color indexed="81"/>
            <rFont val="Tahoma"/>
            <family val="2"/>
          </rPr>
          <t>Miami University User:</t>
        </r>
        <r>
          <rPr>
            <sz val="9"/>
            <color indexed="81"/>
            <rFont val="Tahoma"/>
            <family val="2"/>
          </rPr>
          <t xml:space="preserve">
Car revenue driver will be down here, other revenues will be % above</t>
        </r>
      </text>
    </comment>
    <comment ref="R61" authorId="1">
      <text>
        <r>
          <rPr>
            <b/>
            <sz val="9"/>
            <color indexed="81"/>
            <rFont val="Tahoma"/>
            <family val="2"/>
          </rPr>
          <t>Miami University User:</t>
        </r>
        <r>
          <rPr>
            <sz val="9"/>
            <color indexed="81"/>
            <rFont val="Tahoma"/>
            <family val="2"/>
          </rPr>
          <t xml:space="preserve">
can use % growth or hard coded #</t>
        </r>
      </text>
    </comment>
  </commentList>
</comments>
</file>

<file path=xl/comments3.xml><?xml version="1.0" encoding="utf-8"?>
<comments xmlns="http://schemas.openxmlformats.org/spreadsheetml/2006/main">
  <authors>
    <author>Retcher, Ethan Michael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note example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flatline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flat</t>
        </r>
      </text>
    </comment>
    <comment ref="F18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flat</t>
        </r>
      </text>
    </comment>
    <comment ref="G49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flatline</t>
        </r>
      </text>
    </comment>
  </commentList>
</comments>
</file>

<file path=xl/comments4.xml><?xml version="1.0" encoding="utf-8"?>
<comments xmlns="http://schemas.openxmlformats.org/spreadsheetml/2006/main">
  <authors>
    <author>Retcher, Ethan Michael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note example</t>
        </r>
      </text>
    </comment>
  </commentList>
</comments>
</file>

<file path=xl/comments5.xml><?xml version="1.0" encoding="utf-8"?>
<comments xmlns="http://schemas.openxmlformats.org/spreadsheetml/2006/main">
  <authors>
    <author>Retcher, Ethan Michael</author>
  </authors>
  <commentList>
    <comment ref="J2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note example</t>
        </r>
      </text>
    </comment>
  </commentList>
</comments>
</file>

<file path=xl/comments6.xml><?xml version="1.0" encoding="utf-8"?>
<comments xmlns="http://schemas.openxmlformats.org/spreadsheetml/2006/main">
  <authors>
    <author>Retcher, Ethan Michael</author>
  </authors>
  <commentList>
    <comment ref="J2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note example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Bloomberg
</t>
        </r>
      </text>
    </comment>
    <comment ref="E23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B'Berg
</t>
        </r>
      </text>
    </comment>
  </commentList>
</comments>
</file>

<file path=xl/comments7.xml><?xml version="1.0" encoding="utf-8"?>
<comments xmlns="http://schemas.openxmlformats.org/spreadsheetml/2006/main">
  <authors>
    <author>Retcher, Ethan Michael</author>
  </authors>
  <commentList>
    <comment ref="J2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note example</t>
        </r>
      </text>
    </comment>
    <comment ref="C51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alter this to comps
</t>
        </r>
      </text>
    </comment>
  </commentList>
</comments>
</file>

<file path=xl/comments8.xml><?xml version="1.0" encoding="utf-8"?>
<comments xmlns="http://schemas.openxmlformats.org/spreadsheetml/2006/main">
  <authors>
    <author>Retcher, Ethan Michael</author>
  </authors>
  <commentList>
    <comment ref="J2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note example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wtf lol…we'll probably throw out perpetuity growth b/c we're not going to be growing at 2.5%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alter this to comps
</t>
        </r>
      </text>
    </comment>
  </commentList>
</comments>
</file>

<file path=xl/comments9.xml><?xml version="1.0" encoding="utf-8"?>
<comments xmlns="http://schemas.openxmlformats.org/spreadsheetml/2006/main">
  <authors>
    <author>Retcher, Ethan Michael</author>
  </authors>
  <commentList>
    <comment ref="J2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note example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wtf lol…we'll probably throw out perpetuity growth b/c we're not going to be growing at 2.5%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alter this to comps
</t>
        </r>
      </text>
    </comment>
  </commentList>
</comments>
</file>

<file path=xl/comments10.xml><?xml version="1.0" encoding="utf-8"?>
<comments xmlns="http://schemas.openxmlformats.org/spreadsheetml/2006/main">
  <authors>
    <author>Retcher, Ethan Michael</author>
  </authors>
  <commentList>
    <comment ref="J2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note example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wtf lol…we'll probably throw out perpetuity growth b/c we're not going to be growing at 2.5%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alter this to comps
</t>
        </r>
      </text>
    </comment>
  </commentList>
</comments>
</file>

<file path=xl/comments11.xml><?xml version="1.0" encoding="utf-8"?>
<comments xmlns="http://schemas.openxmlformats.org/spreadsheetml/2006/main">
  <authors>
    <author>Retcher, Ethan Michael</author>
  </authors>
  <commentList>
    <comment ref="J2" authorId="0">
      <text>
        <r>
          <rPr>
            <b/>
            <sz val="9"/>
            <color indexed="81"/>
            <rFont val="Tahoma"/>
            <family val="2"/>
          </rPr>
          <t>Retcher, Ethan Michael:</t>
        </r>
        <r>
          <rPr>
            <sz val="9"/>
            <color indexed="81"/>
            <rFont val="Tahoma"/>
            <family val="2"/>
          </rPr>
          <t xml:space="preserve">
note example
</t>
        </r>
      </text>
    </comment>
  </commentList>
</comments>
</file>

<file path=xl/sharedStrings.xml><?xml version="1.0" encoding="utf-8"?>
<sst xmlns="http://schemas.openxmlformats.org/spreadsheetml/2006/main" count="827" uniqueCount="339">
  <si>
    <t>Names</t>
  </si>
  <si>
    <t>Project</t>
  </si>
  <si>
    <t>Date</t>
  </si>
  <si>
    <t>Income Statement</t>
  </si>
  <si>
    <t>EBITDA</t>
  </si>
  <si>
    <t>EBIT</t>
  </si>
  <si>
    <t>Metrics and Drivers:</t>
  </si>
  <si>
    <t>Historical</t>
  </si>
  <si>
    <t>Projected</t>
  </si>
  <si>
    <t>Balance Sheet</t>
  </si>
  <si>
    <t xml:space="preserve"> </t>
  </si>
  <si>
    <t>Total Assets</t>
  </si>
  <si>
    <t>x</t>
  </si>
  <si>
    <t>Total Liabilities</t>
  </si>
  <si>
    <t>Taxes</t>
  </si>
  <si>
    <t>NOPAT</t>
  </si>
  <si>
    <t>Tax Rate</t>
  </si>
  <si>
    <t>Fixed Asset Schedule</t>
  </si>
  <si>
    <t>Beginning Balance</t>
  </si>
  <si>
    <t>Plus: Capital Expenditures</t>
  </si>
  <si>
    <t>Less: Depreciation</t>
  </si>
  <si>
    <t>Ending Balance</t>
  </si>
  <si>
    <t>Working Capital Schedule</t>
  </si>
  <si>
    <t>Non-Cash Current Assets</t>
  </si>
  <si>
    <t>Non-Debt Current Liabilities</t>
  </si>
  <si>
    <t>Working Capital</t>
  </si>
  <si>
    <t>Change in Working Capital</t>
  </si>
  <si>
    <t>Days Receivable</t>
  </si>
  <si>
    <t>Days</t>
  </si>
  <si>
    <t>Comparable Companies Analysis</t>
  </si>
  <si>
    <t>check</t>
  </si>
  <si>
    <t>Less: D&amp;A</t>
  </si>
  <si>
    <t>Plus: D&amp;A</t>
  </si>
  <si>
    <t>Less: CapEx</t>
  </si>
  <si>
    <t>Less: Change in NWC</t>
  </si>
  <si>
    <t>Unlevered Free Cash Flow</t>
  </si>
  <si>
    <t>Days Payable</t>
  </si>
  <si>
    <t>Company Name</t>
  </si>
  <si>
    <t>TripAdvisor Inc</t>
  </si>
  <si>
    <t>Priceline Group Inc</t>
  </si>
  <si>
    <t>Expedia</t>
  </si>
  <si>
    <t>TravelZoo</t>
  </si>
  <si>
    <t>Fleetmatics</t>
  </si>
  <si>
    <t>WebJet LTD</t>
  </si>
  <si>
    <t>Hanjin Kal Corp</t>
  </si>
  <si>
    <t>MoneySuperMarket.com</t>
  </si>
  <si>
    <t>Equity Value</t>
  </si>
  <si>
    <t>Enterprise Value</t>
  </si>
  <si>
    <t>3rd Quartile</t>
  </si>
  <si>
    <t>Median</t>
  </si>
  <si>
    <t>Mean</t>
  </si>
  <si>
    <t>1st Quartile</t>
  </si>
  <si>
    <t>Low</t>
  </si>
  <si>
    <t>Kakaku.com Inc</t>
  </si>
  <si>
    <t>Perpetuity Growth Method</t>
  </si>
  <si>
    <t>Present Value of Projection Period</t>
  </si>
  <si>
    <t>Perpetuity Growth Rate</t>
  </si>
  <si>
    <t>Terminal Value</t>
  </si>
  <si>
    <t>Years</t>
  </si>
  <si>
    <t>Present Value of Terminal Value</t>
  </si>
  <si>
    <t>Total Enterprise Value</t>
  </si>
  <si>
    <t>EBITDA Exit Multiple</t>
  </si>
  <si>
    <t>EBITDA Multiple</t>
  </si>
  <si>
    <t>WACC Calculation</t>
  </si>
  <si>
    <t>Book Value of Debt</t>
  </si>
  <si>
    <t>Total Capital</t>
  </si>
  <si>
    <t>Beta</t>
  </si>
  <si>
    <t>Expected Market Return</t>
  </si>
  <si>
    <t>Risk Free Rate</t>
  </si>
  <si>
    <t>Cost of Equity</t>
  </si>
  <si>
    <t>Cost of Debt</t>
  </si>
  <si>
    <t>WACC</t>
  </si>
  <si>
    <t>Total Entterprise Value</t>
  </si>
  <si>
    <t>Market Risk Premium</t>
  </si>
  <si>
    <t>Metrics and Drivers</t>
  </si>
  <si>
    <t>Pre-Tax Cost of Debt</t>
  </si>
  <si>
    <t>Year</t>
  </si>
  <si>
    <t>Market Value of Equity</t>
  </si>
  <si>
    <t>1 Year</t>
  </si>
  <si>
    <t>3 Year</t>
  </si>
  <si>
    <t>5 Year</t>
  </si>
  <si>
    <t>2 Year</t>
  </si>
  <si>
    <t>Russel 2000</t>
  </si>
  <si>
    <t>Dow Jones</t>
  </si>
  <si>
    <t>Metric</t>
  </si>
  <si>
    <t>Exchange and Annual Return</t>
  </si>
  <si>
    <t>S&amp;P 500</t>
  </si>
  <si>
    <t>FTSE 100 (LSE)</t>
  </si>
  <si>
    <t>Shanghai SE Composite Index</t>
  </si>
  <si>
    <t>Net Income</t>
  </si>
  <si>
    <t>EBIT Margin</t>
  </si>
  <si>
    <t>Comparables</t>
  </si>
  <si>
    <t>Book Value of Equity</t>
  </si>
  <si>
    <t>Market Value</t>
  </si>
  <si>
    <t>Multiple</t>
  </si>
  <si>
    <t>Average</t>
  </si>
  <si>
    <t>Growth Step</t>
  </si>
  <si>
    <t>WACC Step</t>
  </si>
  <si>
    <t>25th percentile</t>
  </si>
  <si>
    <t>median</t>
  </si>
  <si>
    <t>75th percentile</t>
  </si>
  <si>
    <t>start point</t>
  </si>
  <si>
    <t>median point</t>
  </si>
  <si>
    <t>max point</t>
  </si>
  <si>
    <t>Net Sales</t>
  </si>
  <si>
    <t>COGS</t>
  </si>
  <si>
    <t>Gross Profit</t>
  </si>
  <si>
    <t>SG&amp;A</t>
  </si>
  <si>
    <t>EBT</t>
  </si>
  <si>
    <t>2015Q1</t>
  </si>
  <si>
    <t>2015Q2</t>
  </si>
  <si>
    <t>2015Q3</t>
  </si>
  <si>
    <t>2015Q4</t>
  </si>
  <si>
    <t>2016Q1</t>
  </si>
  <si>
    <t>2016Q2</t>
  </si>
  <si>
    <t>2016Q3</t>
  </si>
  <si>
    <t>Current Year</t>
  </si>
  <si>
    <t>2016Q4E</t>
  </si>
  <si>
    <t>Net Sales Growth</t>
  </si>
  <si>
    <t>COGS as % of Net Sales</t>
  </si>
  <si>
    <t>Gross Profit Margin</t>
  </si>
  <si>
    <t>2017Q4E</t>
  </si>
  <si>
    <t>EBT Margin</t>
  </si>
  <si>
    <t>Historic/Formula</t>
  </si>
  <si>
    <t>Linked</t>
  </si>
  <si>
    <t>Assumption</t>
  </si>
  <si>
    <t>Legend</t>
  </si>
  <si>
    <t>2017Q1E</t>
  </si>
  <si>
    <t>2017Q2E</t>
  </si>
  <si>
    <t>2017Q3E</t>
  </si>
  <si>
    <t>cells with red triangles in the top right have comments</t>
  </si>
  <si>
    <t>Net Income Margin</t>
  </si>
  <si>
    <t>EPS per shre</t>
  </si>
  <si>
    <t>Basic</t>
  </si>
  <si>
    <t>Shares Outsanding</t>
  </si>
  <si>
    <t>Accounts &amp; Notes Rec</t>
  </si>
  <si>
    <t>Inventories</t>
  </si>
  <si>
    <t>Other Current Assets</t>
  </si>
  <si>
    <t>Accounts Payable</t>
  </si>
  <si>
    <t>Tot Sharehldr Eqty</t>
  </si>
  <si>
    <t>Tot liab &amp; equity</t>
  </si>
  <si>
    <t>Shares Outstanding</t>
  </si>
  <si>
    <t>Cash as % of Net Sales</t>
  </si>
  <si>
    <t>Days Inventory</t>
  </si>
  <si>
    <t>Capital Expenditures as a % of Net Sales</t>
  </si>
  <si>
    <t>Common Equity as % of net sales</t>
  </si>
  <si>
    <t>LT Debt Magic :)</t>
  </si>
  <si>
    <t>Other ST Liabilities</t>
  </si>
  <si>
    <t>Sum of Prsent Values</t>
  </si>
  <si>
    <t>Less: Net Debt</t>
  </si>
  <si>
    <t>Implied Share Price</t>
  </si>
  <si>
    <t>s</t>
  </si>
  <si>
    <t>Symbol</t>
  </si>
  <si>
    <t>Market Cap</t>
  </si>
  <si>
    <t>P/E TTM</t>
  </si>
  <si>
    <t>PEG</t>
  </si>
  <si>
    <t>Net Profit Margin</t>
  </si>
  <si>
    <t>TTM EPS Growth</t>
  </si>
  <si>
    <t>YOY Sales Growth</t>
  </si>
  <si>
    <t>DCF (as-is)</t>
  </si>
  <si>
    <t>Earnings Multiples</t>
  </si>
  <si>
    <t>Comprables Companies</t>
  </si>
  <si>
    <t>Discounted Cash Flow</t>
  </si>
  <si>
    <t>Matthew Brigham, Jimmy Kruse, Lainey Massaro, Ethan Retcher</t>
  </si>
  <si>
    <t>Ferrari N.V. (NYSE: RACE) - CRC 2017</t>
  </si>
  <si>
    <t>Net Revenues</t>
  </si>
  <si>
    <t>Cost of Sales</t>
  </si>
  <si>
    <t>R&amp;D</t>
  </si>
  <si>
    <t>Other expenses, net</t>
  </si>
  <si>
    <t>Results from Investments</t>
  </si>
  <si>
    <t>Net financial (expenses) income</t>
  </si>
  <si>
    <t>Other expenses as % of sales</t>
  </si>
  <si>
    <t>(In thousands of ‎€, except per share amount)</t>
  </si>
  <si>
    <t>SG&amp;A as % of Revenues</t>
  </si>
  <si>
    <t>R&amp;D as % of sales</t>
  </si>
  <si>
    <t>Fiscal Year ended December 31,</t>
  </si>
  <si>
    <t>Cash &amp; Cash Equivalents</t>
  </si>
  <si>
    <t>Deposits in FCA Group Cash Management Pools</t>
  </si>
  <si>
    <t>Current Financial Assets</t>
  </si>
  <si>
    <t>Current Tax Receivables</t>
  </si>
  <si>
    <t>Receivables from Financing Activities</t>
  </si>
  <si>
    <t>Trade Receivables</t>
  </si>
  <si>
    <t>Current Assets</t>
  </si>
  <si>
    <t>Deferred Tax Assets</t>
  </si>
  <si>
    <t>Investments and Other Financial Assets</t>
  </si>
  <si>
    <t>Property, Plant, and Equipment</t>
  </si>
  <si>
    <t>Intangible Assets</t>
  </si>
  <si>
    <t>Goodwill</t>
  </si>
  <si>
    <t>Ferrari N.V. (NYSE: RACE)</t>
  </si>
  <si>
    <t>Current Tax Payables</t>
  </si>
  <si>
    <t>Trade Payables</t>
  </si>
  <si>
    <t>Other Financial Liabilities</t>
  </si>
  <si>
    <t>Other Liabilities</t>
  </si>
  <si>
    <t>Debt</t>
  </si>
  <si>
    <t>Deferred Tax Liabilities</t>
  </si>
  <si>
    <t>Provisions</t>
  </si>
  <si>
    <t>Employee Benefits</t>
  </si>
  <si>
    <t>Equity/(Defecit) attributable to owners of the parent</t>
  </si>
  <si>
    <t>Non-controlling interests</t>
  </si>
  <si>
    <t>Non-Current Assets</t>
  </si>
  <si>
    <t>Statement of Cash Flows</t>
  </si>
  <si>
    <t>Operations</t>
  </si>
  <si>
    <t>D&amp;A</t>
  </si>
  <si>
    <t>Provision Accruals</t>
  </si>
  <si>
    <t>Result of Investments</t>
  </si>
  <si>
    <t>Other Non-Cash (Income)/Expenses</t>
  </si>
  <si>
    <t>Net gains on disposal of PPE &amp; Intagibles</t>
  </si>
  <si>
    <t>Change in inventories</t>
  </si>
  <si>
    <t>Change in Trade Receivables</t>
  </si>
  <si>
    <t>Change in Trade Payables</t>
  </si>
  <si>
    <t>Change in receivables from Financing Activites</t>
  </si>
  <si>
    <t>Change in Other Operating Assets and Liabilities</t>
  </si>
  <si>
    <t>Income Tax Paid</t>
  </si>
  <si>
    <t>Investing</t>
  </si>
  <si>
    <t>CapEx</t>
  </si>
  <si>
    <t>Investments in Intangibles</t>
  </si>
  <si>
    <t>Change in Investments and other financial assets</t>
  </si>
  <si>
    <t>Cash acquired in change in scope of consolidation</t>
  </si>
  <si>
    <t>Proceeds from the sale of PPE &amp; Intangibles</t>
  </si>
  <si>
    <t>Proceeds from the sale of assets and liabilites related to investment properties</t>
  </si>
  <si>
    <t>Proceeds from the Sale of a Majority Stake in FFS GmbH</t>
  </si>
  <si>
    <t>Cash from Investing Activities</t>
  </si>
  <si>
    <t>Cash from Operating Activites</t>
  </si>
  <si>
    <t>Financing</t>
  </si>
  <si>
    <t>Proceeds from Term Loan and Bridge Loan</t>
  </si>
  <si>
    <t>Repayment of Term Loan</t>
  </si>
  <si>
    <t>Pepayment of Bridge Loan</t>
  </si>
  <si>
    <t>Net change in other bank borrowings</t>
  </si>
  <si>
    <t>Rroceeds from securitizations, net of repayments</t>
  </si>
  <si>
    <t>Proceeds from bond</t>
  </si>
  <si>
    <t>Net change in deposts in FCA Group</t>
  </si>
  <si>
    <t>Net change in other debt</t>
  </si>
  <si>
    <t>Acquisition of non-controlling interest</t>
  </si>
  <si>
    <t>Change in equity</t>
  </si>
  <si>
    <t>Cash distributions</t>
  </si>
  <si>
    <t>Dividends paid to non-controlling interest</t>
  </si>
  <si>
    <t>Cash from Financing Activites</t>
  </si>
  <si>
    <t>Translation Exchange Differences</t>
  </si>
  <si>
    <t>Total change in Cash and Cash Equivalents</t>
  </si>
  <si>
    <t>Beginning Cash</t>
  </si>
  <si>
    <t>Ending Cash</t>
  </si>
  <si>
    <t>Non-Controllilng Interest</t>
  </si>
  <si>
    <t>Net Income Attributable to Owners</t>
  </si>
  <si>
    <t>Non-controlling interest % of Net Income</t>
  </si>
  <si>
    <t>Owner's Net Income as % of Net Income</t>
  </si>
  <si>
    <t>Metrics</t>
  </si>
  <si>
    <t>Revenues Broken Down</t>
  </si>
  <si>
    <t>Cars and Spare Parts</t>
  </si>
  <si>
    <t>Engines</t>
  </si>
  <si>
    <t>Sponsorship, Commercial and Brand</t>
  </si>
  <si>
    <t>Other</t>
  </si>
  <si>
    <t>Revenue Streams</t>
  </si>
  <si>
    <t>Cars and Spare Parts Revenue Growth</t>
  </si>
  <si>
    <t>Engines Revenue Growth</t>
  </si>
  <si>
    <t>Sponsorship, Commercial and Brand Rev Growth</t>
  </si>
  <si>
    <t>Other Revenue Growth</t>
  </si>
  <si>
    <t>Cars</t>
  </si>
  <si>
    <t>Accounts Receivable</t>
  </si>
  <si>
    <t>Tax Receivables as % of A/R</t>
  </si>
  <si>
    <t>Financing Rec. as % of A/R</t>
  </si>
  <si>
    <t>Trade Rec. as % of A/R</t>
  </si>
  <si>
    <t>Tax Payables as % of A/P</t>
  </si>
  <si>
    <t>Trade Pay as % of A/P</t>
  </si>
  <si>
    <t>Other Liabilities as % of A/R</t>
  </si>
  <si>
    <t>Deferred Tax Liabilities as % of A/R</t>
  </si>
  <si>
    <t>Provisions as % of Liabilities</t>
  </si>
  <si>
    <t>Employee Benefits as % of Sales</t>
  </si>
  <si>
    <t>Decrease in % of Non-Controlling</t>
  </si>
  <si>
    <t>Fiscal Year Ended December 31,</t>
  </si>
  <si>
    <t>Depreciation as % of Beginning Balance</t>
  </si>
  <si>
    <t>Total Current Liabilities</t>
  </si>
  <si>
    <t>ST Debt</t>
  </si>
  <si>
    <t>A/P as % of Total Current Liabilities</t>
  </si>
  <si>
    <t>ST Debt as % of Total Current Liabilities</t>
  </si>
  <si>
    <t>Per Unit Revenues</t>
  </si>
  <si>
    <t>Revenue Per Car</t>
  </si>
  <si>
    <t>Employees</t>
  </si>
  <si>
    <t>Revenue Per Employee</t>
  </si>
  <si>
    <t>Car Shipments</t>
  </si>
  <si>
    <t>Shipment Growth Rate</t>
  </si>
  <si>
    <t>Car Revenue Growth Rate</t>
  </si>
  <si>
    <t>Proejceted</t>
  </si>
  <si>
    <t>2023E Free Cash Flow</t>
  </si>
  <si>
    <t>2023E EBITDA</t>
  </si>
  <si>
    <t>Conversion Rate</t>
  </si>
  <si>
    <t>2016 EBITDA</t>
  </si>
  <si>
    <t>THESE PRICE TARGETS ARE FOR 2018E AS TIME 0…THEREFORE THESE ARE JAN 1 2018 PRICE TARGETS</t>
  </si>
  <si>
    <t>EU Share Price</t>
  </si>
  <si>
    <t>Ferrari NV</t>
  </si>
  <si>
    <t>TOD'S SPA</t>
  </si>
  <si>
    <t>BRUNELLO CUCINELLI SPA</t>
  </si>
  <si>
    <t>LUXOTTICA GROUP SPA</t>
  </si>
  <si>
    <t>LVMH MOET HENNESSY LOUIS VUI</t>
  </si>
  <si>
    <t>CIE FINANCIERE RICHEMONT-REG</t>
  </si>
  <si>
    <t>SALVATORE FERRAGAMO SPA</t>
  </si>
  <si>
    <t>HERMES INTERNATIONAL</t>
  </si>
  <si>
    <t>KERING</t>
  </si>
  <si>
    <t>PRADA S.P.A.</t>
  </si>
  <si>
    <t>TOD IM</t>
  </si>
  <si>
    <t>BC IM</t>
  </si>
  <si>
    <t>LUX IM</t>
  </si>
  <si>
    <t>MC FP</t>
  </si>
  <si>
    <t>CFR VX</t>
  </si>
  <si>
    <t>SFER IM</t>
  </si>
  <si>
    <t>RMS FP</t>
  </si>
  <si>
    <t>KER FP</t>
  </si>
  <si>
    <t>1913 HK</t>
  </si>
  <si>
    <t>(In millions of ‎$, except per share amount)</t>
  </si>
  <si>
    <t>RACE US</t>
  </si>
  <si>
    <t>TTM Performance</t>
  </si>
  <si>
    <t>TTM EV/EBITDA</t>
  </si>
  <si>
    <t>FY 1 EV/EBITDA</t>
  </si>
  <si>
    <t>FY P/E</t>
  </si>
  <si>
    <t>TTM EBITDA</t>
  </si>
  <si>
    <t>Max</t>
  </si>
  <si>
    <t>Current Price ($)</t>
  </si>
  <si>
    <t>FY EV/EBITDA</t>
  </si>
  <si>
    <t>DCF (optimal cap structure)</t>
  </si>
  <si>
    <t>Comps: P/E</t>
  </si>
  <si>
    <t>Comps: EV/EBITDA</t>
  </si>
  <si>
    <t>Football Field</t>
  </si>
  <si>
    <t>CURRENT PRICE</t>
  </si>
  <si>
    <t>Current Share Price:</t>
  </si>
  <si>
    <t>2018E EPS</t>
  </si>
  <si>
    <t>Earnings Bull</t>
  </si>
  <si>
    <t>Earnings Bear</t>
  </si>
  <si>
    <t>Earnings Base</t>
  </si>
  <si>
    <t>Earnings Current Multiple</t>
  </si>
  <si>
    <t>EPS</t>
  </si>
  <si>
    <t>:__(</t>
  </si>
  <si>
    <t>Euro/$ Conversion Rate</t>
  </si>
  <si>
    <t>MIN MULTIPLE</t>
  </si>
  <si>
    <t>MAX MULTIPLE</t>
  </si>
  <si>
    <t>SHOULD THESE BE DIRECT MULTIPLES OR MULTIPLES OF THE PROJECTED 2018 VALUES</t>
  </si>
  <si>
    <t>NOT YET CORRECT</t>
  </si>
  <si>
    <t>ESTIMATES</t>
  </si>
  <si>
    <t>3-year Historic Conversion Rate</t>
  </si>
  <si>
    <t>2018E Implied Share Price</t>
  </si>
  <si>
    <t>3-yyear Historic Conversion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</si>
</sst>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164" formatCode="####&quot;E&quot;"/>
    <numFmt numFmtId="165" formatCode="&quot;$&quot;#,##0.0_);\(&quot;$&quot;#,##0.0\)"/>
    <numFmt numFmtId="166" formatCode="#,##0.0_);\(#,##0.0\)"/>
    <numFmt numFmtId="167" formatCode="0.0%"/>
    <numFmt numFmtId="168" formatCode="&quot;$&quot;#,##0_);\(&quot;$&quot;#,##0\);\ \-\ \-\ "/>
    <numFmt numFmtId="169" formatCode="#,##0.0\x_);\(#,##0.0\x\);\ \-\ \-\ "/>
    <numFmt numFmtId="170" formatCode="#,##0.0"/>
    <numFmt numFmtId="171" formatCode="0.0"/>
    <numFmt numFmtId="172" formatCode="#,##0.0;\-#,##0.0"/>
    <numFmt numFmtId="173" formatCode="&quot;$&quot;#,##0.00"/>
    <numFmt numFmtId="174" formatCode="_(&quot;$&quot;* #,##0_);_(&quot;$&quot;* \(#,##0\);_(&quot;$&quot;* &quot;-&quot;??_);_(@_)"/>
    <numFmt numFmtId="175" formatCode="&quot;$&quot;#,##0"/>
    <numFmt numFmtId="176" formatCode="0.0%_);\(0.0%\)"/>
    <numFmt numFmtId="177" formatCode="&quot;$&quot;#,##0.0000_);\(&quot;$&quot;#,##0.0000\)"/>
    <numFmt numFmtId="178" formatCode="_(* #,##0_);_(* \(#,##0\);_(* &quot;-&quot;??_);_(@_)"/>
    <numFmt numFmtId="179" formatCode="_([$€-2]\ * #,##0.00_);_([$€-2]\ * \(#,##0.00\);_([$€-2]\ * &quot;-&quot;??_);_(@_)"/>
    <numFmt numFmtId="180" formatCode="_([$€-2]\ * #,##0_);_([$€-2]\ * \(#,##0\);_([$€-2]\ * &quot;-&quot;??_);_(@_)"/>
    <numFmt numFmtId="181" formatCode="#,##0.000_);\(#,##0.000\)"/>
    <numFmt numFmtId="182" formatCode="&quot;$&quot;#,##0.00000_);\(&quot;$&quot;#,##0.00000\)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Perpetua"/>
      <family val="1"/>
    </font>
    <font>
      <sz val="10"/>
      <color theme="0"/>
      <name val="Perpetua"/>
      <family val="1"/>
    </font>
    <font>
      <sz val="10"/>
      <name val="Perpetua"/>
      <family val="1"/>
    </font>
    <font>
      <b/>
      <sz val="10"/>
      <name val="Perpetua"/>
      <family val="1"/>
    </font>
    <font>
      <b/>
      <sz val="10"/>
      <color theme="1"/>
      <name val="Perpetua"/>
      <family val="1"/>
    </font>
    <font>
      <b/>
      <sz val="15"/>
      <color theme="1"/>
      <name val="Perpetua"/>
      <family val="1"/>
    </font>
    <font>
      <i/>
      <sz val="10"/>
      <color theme="1"/>
      <name val="Perpetua"/>
      <family val="1"/>
    </font>
    <font>
      <sz val="10"/>
      <color rgb="FF009B00"/>
      <name val="Perpetua"/>
      <family val="1"/>
    </font>
    <font>
      <sz val="10"/>
      <color rgb="FF0000FF"/>
      <name val="Perpetua"/>
      <family val="1"/>
    </font>
    <font>
      <sz val="10"/>
      <color rgb="FFFF0000"/>
      <name val="Perpetua"/>
      <family val="1"/>
    </font>
    <font>
      <b/>
      <sz val="10"/>
      <color rgb="FF0000FF"/>
      <name val="Perpetua"/>
      <family val="1"/>
    </font>
    <font>
      <b/>
      <sz val="10"/>
      <color theme="0"/>
      <name val="Perpetua"/>
      <family val="1"/>
    </font>
    <font>
      <b/>
      <sz val="10"/>
      <color indexed="8"/>
      <name val="Arial"/>
      <family val="2"/>
    </font>
    <font>
      <sz val="10"/>
      <color rgb="FF008000"/>
      <name val="Perpetua"/>
      <family val="1"/>
    </font>
    <font>
      <sz val="10"/>
      <color theme="2"/>
      <name val="Perpetua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Perpetua"/>
      <family val="1"/>
    </font>
    <font>
      <sz val="9"/>
      <color rgb="FF009B00"/>
      <name val="Perpetua"/>
      <family val="1"/>
    </font>
    <font>
      <sz val="9"/>
      <color rgb="FF0000FF"/>
      <name val="Perpetua"/>
      <family val="1"/>
    </font>
    <font>
      <i/>
      <sz val="9"/>
      <color theme="1"/>
      <name val="Perpetua"/>
      <family val="1"/>
    </font>
    <font>
      <sz val="8"/>
      <color theme="1"/>
      <name val="Perpetua"/>
      <family val="1"/>
    </font>
    <font>
      <b/>
      <sz val="10"/>
      <color rgb="FF009B00"/>
      <name val="Perpetua"/>
      <family val="1"/>
    </font>
    <font>
      <i/>
      <sz val="10"/>
      <color rgb="FFFF0000"/>
      <name val="Perpetua"/>
      <family val="1"/>
    </font>
    <font>
      <b/>
      <sz val="11"/>
      <color theme="1"/>
      <name val="Perpetua"/>
      <family val="1"/>
    </font>
    <font>
      <b/>
      <i/>
      <sz val="10"/>
      <color theme="1"/>
      <name val="Perpetua"/>
      <family val="1"/>
    </font>
    <font>
      <b/>
      <i/>
      <u/>
      <sz val="10"/>
      <color theme="1"/>
      <name val="Perpetua"/>
      <family val="1"/>
    </font>
    <font>
      <sz val="14"/>
      <color theme="1"/>
      <name val="Perpetua"/>
      <family val="1"/>
    </font>
    <font>
      <sz val="10"/>
      <color rgb="FF30923E"/>
      <name val="Perpetua"/>
      <family val="1"/>
    </font>
    <font>
      <b/>
      <sz val="10"/>
      <color rgb="FF30923E"/>
      <name val="Perpetua"/>
      <family val="1"/>
    </font>
    <font>
      <sz val="20"/>
      <color theme="8" tint="-0.499984740745262"/>
      <name val="Perpetua"/>
      <family val="1"/>
    </font>
    <font>
      <sz val="10"/>
      <name val="Arial"/>
      <family val="2"/>
    </font>
    <font>
      <b/>
      <sz val="16"/>
      <color rgb="FF7030A0"/>
      <name val="Perpetua"/>
      <family val="1"/>
    </font>
    <font>
      <b/>
      <sz val="24"/>
      <color rgb="FF7030A0"/>
      <name val="Perpetua"/>
      <family val="1"/>
    </font>
    <font>
      <b/>
      <sz val="9.5"/>
      <color theme="0"/>
      <name val="Garamond"/>
      <family val="1"/>
    </font>
    <font>
      <sz val="9.5"/>
      <name val="Garamond"/>
      <family val="1"/>
    </font>
    <font>
      <sz val="9.5"/>
      <color theme="1"/>
      <name val="Garamond"/>
      <family val="1"/>
    </font>
    <font>
      <b/>
      <sz val="9.5"/>
      <color theme="1"/>
      <name val="Garamond"/>
      <family val="1"/>
    </font>
    <font>
      <b/>
      <sz val="9.5"/>
      <name val="Garamond"/>
      <family val="1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10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theme="0"/>
      </bottom>
      <diagonal/>
    </border>
    <border>
      <left style="medium">
        <color auto="1"/>
      </left>
      <right/>
      <top style="dotted">
        <color theme="0"/>
      </top>
      <bottom style="dotted">
        <color theme="0"/>
      </bottom>
      <diagonal/>
    </border>
    <border>
      <left style="medium">
        <color auto="1"/>
      </left>
      <right/>
      <top style="dotted">
        <color theme="0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/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/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medium">
        <color theme="1"/>
      </left>
      <right style="thin">
        <color theme="0"/>
      </right>
      <top/>
      <bottom/>
      <diagonal/>
    </border>
    <border>
      <left style="medium">
        <color theme="1"/>
      </left>
      <right style="thin">
        <color theme="0"/>
      </right>
      <top/>
      <bottom style="medium">
        <color theme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32">
    <xf numFmtId="0" fontId="0" fillId="0" borderId="0"/>
    <xf numFmtId="9" fontId="1" fillId="0" borderId="0" applyFont="0" applyFill="0" applyBorder="0" applyAlignment="0" applyProtection="0"/>
    <xf numFmtId="170" fontId="14" fillId="6" borderId="14">
      <alignment horizontal="right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51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14" fontId="2" fillId="0" borderId="3" xfId="0" applyNumberFormat="1" applyFont="1" applyBorder="1" applyAlignment="1">
      <alignment horizontal="left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7" fillId="0" borderId="0" xfId="0" applyFont="1"/>
    <xf numFmtId="0" fontId="6" fillId="0" borderId="0" xfId="0" applyFont="1"/>
    <xf numFmtId="0" fontId="8" fillId="0" borderId="0" xfId="0" applyFont="1"/>
    <xf numFmtId="0" fontId="2" fillId="0" borderId="0" xfId="0" applyFont="1" applyAlignment="1">
      <alignment horizontal="left" indent="2"/>
    </xf>
    <xf numFmtId="164" fontId="3" fillId="2" borderId="11" xfId="0" applyNumberFormat="1" applyFont="1" applyFill="1" applyBorder="1" applyAlignment="1">
      <alignment horizontal="center"/>
    </xf>
    <xf numFmtId="164" fontId="3" fillId="2" borderId="10" xfId="0" applyNumberFormat="1" applyFont="1" applyFill="1" applyBorder="1" applyAlignment="1">
      <alignment horizontal="center"/>
    </xf>
    <xf numFmtId="0" fontId="2" fillId="0" borderId="14" xfId="0" applyFont="1" applyBorder="1"/>
    <xf numFmtId="165" fontId="6" fillId="0" borderId="0" xfId="0" applyNumberFormat="1" applyFont="1"/>
    <xf numFmtId="166" fontId="2" fillId="0" borderId="14" xfId="0" applyNumberFormat="1" applyFont="1" applyBorder="1"/>
    <xf numFmtId="0" fontId="6" fillId="0" borderId="17" xfId="0" applyFont="1" applyBorder="1"/>
    <xf numFmtId="166" fontId="6" fillId="0" borderId="17" xfId="0" applyNumberFormat="1" applyFont="1" applyBorder="1"/>
    <xf numFmtId="166" fontId="2" fillId="0" borderId="17" xfId="0" applyNumberFormat="1" applyFont="1" applyBorder="1"/>
    <xf numFmtId="0" fontId="2" fillId="0" borderId="17" xfId="0" applyFont="1" applyBorder="1" applyAlignment="1">
      <alignment horizontal="left" indent="2"/>
    </xf>
    <xf numFmtId="7" fontId="2" fillId="0" borderId="0" xfId="0" applyNumberFormat="1" applyFont="1"/>
    <xf numFmtId="167" fontId="2" fillId="0" borderId="0" xfId="1" applyNumberFormat="1" applyFont="1"/>
    <xf numFmtId="167" fontId="2" fillId="0" borderId="0" xfId="1" applyNumberFormat="1" applyFont="1" applyBorder="1"/>
    <xf numFmtId="0" fontId="2" fillId="0" borderId="0" xfId="0" applyFont="1" applyBorder="1" applyAlignment="1">
      <alignment horizontal="left" indent="2"/>
    </xf>
    <xf numFmtId="166" fontId="2" fillId="0" borderId="0" xfId="0" applyNumberFormat="1" applyFont="1" applyBorder="1"/>
    <xf numFmtId="0" fontId="2" fillId="0" borderId="0" xfId="0" applyFont="1" applyBorder="1"/>
    <xf numFmtId="0" fontId="5" fillId="3" borderId="0" xfId="0" applyFont="1" applyFill="1" applyBorder="1"/>
    <xf numFmtId="165" fontId="6" fillId="0" borderId="0" xfId="0" applyNumberFormat="1" applyFont="1" applyBorder="1"/>
    <xf numFmtId="0" fontId="6" fillId="0" borderId="0" xfId="0" applyFont="1" applyBorder="1"/>
    <xf numFmtId="166" fontId="6" fillId="0" borderId="0" xfId="0" applyNumberFormat="1" applyFont="1" applyBorder="1"/>
    <xf numFmtId="0" fontId="6" fillId="0" borderId="0" xfId="0" applyFont="1" applyBorder="1" applyAlignment="1">
      <alignment horizontal="left" indent="2"/>
    </xf>
    <xf numFmtId="7" fontId="2" fillId="0" borderId="0" xfId="0" applyNumberFormat="1" applyFont="1" applyBorder="1"/>
    <xf numFmtId="0" fontId="4" fillId="3" borderId="0" xfId="0" applyFont="1" applyFill="1" applyBorder="1"/>
    <xf numFmtId="165" fontId="9" fillId="0" borderId="0" xfId="0" applyNumberFormat="1" applyFont="1" applyBorder="1"/>
    <xf numFmtId="168" fontId="4" fillId="0" borderId="0" xfId="0" applyNumberFormat="1" applyFont="1" applyBorder="1" applyAlignment="1">
      <alignment horizontal="right" vertical="center"/>
    </xf>
    <xf numFmtId="165" fontId="9" fillId="0" borderId="14" xfId="0" applyNumberFormat="1" applyFont="1" applyBorder="1"/>
    <xf numFmtId="37" fontId="10" fillId="0" borderId="0" xfId="0" applyNumberFormat="1" applyFont="1" applyBorder="1"/>
    <xf numFmtId="167" fontId="10" fillId="0" borderId="0" xfId="1" applyNumberFormat="1" applyFont="1" applyBorder="1"/>
    <xf numFmtId="167" fontId="10" fillId="0" borderId="0" xfId="1" applyNumberFormat="1" applyFont="1"/>
    <xf numFmtId="0" fontId="2" fillId="3" borderId="0" xfId="0" applyFont="1" applyFill="1" applyBorder="1"/>
    <xf numFmtId="164" fontId="2" fillId="3" borderId="0" xfId="0" applyNumberFormat="1" applyFont="1" applyFill="1" applyBorder="1" applyAlignment="1">
      <alignment horizontal="center"/>
    </xf>
    <xf numFmtId="166" fontId="2" fillId="3" borderId="0" xfId="0" applyNumberFormat="1" applyFont="1" applyFill="1" applyBorder="1"/>
    <xf numFmtId="165" fontId="9" fillId="3" borderId="0" xfId="0" applyNumberFormat="1" applyFont="1" applyFill="1" applyBorder="1"/>
    <xf numFmtId="166" fontId="9" fillId="3" borderId="0" xfId="0" applyNumberFormat="1" applyFont="1" applyFill="1" applyBorder="1"/>
    <xf numFmtId="0" fontId="6" fillId="3" borderId="0" xfId="0" applyFont="1" applyFill="1" applyBorder="1"/>
    <xf numFmtId="0" fontId="6" fillId="3" borderId="0" xfId="0" applyFont="1" applyFill="1" applyBorder="1" applyAlignment="1">
      <alignment horizontal="left" indent="2"/>
    </xf>
    <xf numFmtId="165" fontId="2" fillId="3" borderId="0" xfId="0" applyNumberFormat="1" applyFont="1" applyFill="1" applyBorder="1"/>
    <xf numFmtId="165" fontId="6" fillId="3" borderId="0" xfId="0" applyNumberFormat="1" applyFont="1" applyFill="1" applyBorder="1"/>
    <xf numFmtId="0" fontId="2" fillId="3" borderId="0" xfId="0" applyFont="1" applyFill="1" applyBorder="1" applyAlignment="1">
      <alignment horizontal="left" indent="2"/>
    </xf>
    <xf numFmtId="166" fontId="6" fillId="3" borderId="0" xfId="0" applyNumberFormat="1" applyFont="1" applyFill="1" applyBorder="1"/>
    <xf numFmtId="167" fontId="2" fillId="3" borderId="0" xfId="1" applyNumberFormat="1" applyFont="1" applyFill="1" applyBorder="1"/>
    <xf numFmtId="168" fontId="4" fillId="3" borderId="0" xfId="0" applyNumberFormat="1" applyFont="1" applyFill="1" applyBorder="1" applyAlignment="1">
      <alignment horizontal="right" vertical="center"/>
    </xf>
    <xf numFmtId="37" fontId="10" fillId="3" borderId="0" xfId="0" applyNumberFormat="1" applyFont="1" applyFill="1" applyBorder="1"/>
    <xf numFmtId="168" fontId="4" fillId="0" borderId="14" xfId="0" applyNumberFormat="1" applyFont="1" applyBorder="1" applyAlignment="1">
      <alignment horizontal="right" vertical="center"/>
    </xf>
    <xf numFmtId="37" fontId="10" fillId="0" borderId="14" xfId="0" applyNumberFormat="1" applyFont="1" applyBorder="1"/>
    <xf numFmtId="164" fontId="3" fillId="2" borderId="13" xfId="0" applyNumberFormat="1" applyFont="1" applyFill="1" applyBorder="1" applyAlignment="1">
      <alignment horizontal="center"/>
    </xf>
    <xf numFmtId="166" fontId="10" fillId="0" borderId="0" xfId="0" applyNumberFormat="1" applyFont="1" applyBorder="1"/>
    <xf numFmtId="167" fontId="6" fillId="0" borderId="0" xfId="1" applyNumberFormat="1" applyFont="1" applyBorder="1"/>
    <xf numFmtId="167" fontId="9" fillId="0" borderId="0" xfId="1" applyNumberFormat="1" applyFont="1"/>
    <xf numFmtId="168" fontId="2" fillId="3" borderId="0" xfId="0" applyNumberFormat="1" applyFont="1" applyFill="1" applyBorder="1" applyAlignment="1">
      <alignment horizontal="right" vertical="center"/>
    </xf>
    <xf numFmtId="37" fontId="2" fillId="3" borderId="0" xfId="0" applyNumberFormat="1" applyFont="1" applyFill="1" applyBorder="1"/>
    <xf numFmtId="0" fontId="2" fillId="3" borderId="0" xfId="0" applyFont="1" applyFill="1" applyBorder="1" applyAlignment="1"/>
    <xf numFmtId="0" fontId="2" fillId="0" borderId="27" xfId="0" applyFont="1" applyBorder="1"/>
    <xf numFmtId="166" fontId="2" fillId="0" borderId="0" xfId="0" applyNumberFormat="1" applyFont="1" applyAlignment="1">
      <alignment horizontal="right"/>
    </xf>
    <xf numFmtId="169" fontId="4" fillId="0" borderId="0" xfId="0" applyNumberFormat="1" applyFont="1" applyBorder="1" applyAlignment="1">
      <alignment horizontal="right" vertical="center"/>
    </xf>
    <xf numFmtId="166" fontId="2" fillId="0" borderId="0" xfId="0" applyNumberFormat="1" applyFont="1" applyBorder="1" applyAlignment="1">
      <alignment horizontal="right"/>
    </xf>
    <xf numFmtId="0" fontId="2" fillId="5" borderId="15" xfId="0" applyFont="1" applyFill="1" applyBorder="1" applyAlignment="1">
      <alignment horizontal="center"/>
    </xf>
    <xf numFmtId="164" fontId="2" fillId="5" borderId="16" xfId="0" applyNumberFormat="1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7" fontId="2" fillId="0" borderId="28" xfId="0" applyNumberFormat="1" applyFont="1" applyBorder="1"/>
    <xf numFmtId="0" fontId="2" fillId="0" borderId="27" xfId="0" applyFont="1" applyBorder="1" applyAlignment="1">
      <alignment horizontal="left" indent="1"/>
    </xf>
    <xf numFmtId="5" fontId="2" fillId="0" borderId="28" xfId="0" applyNumberFormat="1" applyFont="1" applyBorder="1"/>
    <xf numFmtId="171" fontId="10" fillId="0" borderId="28" xfId="0" applyNumberFormat="1" applyFont="1" applyBorder="1"/>
    <xf numFmtId="0" fontId="2" fillId="0" borderId="0" xfId="0" applyFont="1" applyFill="1" applyBorder="1" applyAlignment="1">
      <alignment horizontal="left" indent="1"/>
    </xf>
    <xf numFmtId="37" fontId="15" fillId="0" borderId="0" xfId="0" applyNumberFormat="1" applyFont="1" applyFill="1" applyBorder="1"/>
    <xf numFmtId="0" fontId="2" fillId="8" borderId="27" xfId="0" applyFont="1" applyFill="1" applyBorder="1" applyAlignment="1">
      <alignment horizontal="left" indent="1"/>
    </xf>
    <xf numFmtId="0" fontId="2" fillId="0" borderId="39" xfId="0" applyFont="1" applyBorder="1"/>
    <xf numFmtId="0" fontId="5" fillId="5" borderId="29" xfId="0" applyFont="1" applyFill="1" applyBorder="1" applyAlignment="1">
      <alignment vertical="top"/>
    </xf>
    <xf numFmtId="10" fontId="2" fillId="0" borderId="0" xfId="0" applyNumberFormat="1" applyFont="1"/>
    <xf numFmtId="166" fontId="10" fillId="3" borderId="0" xfId="0" applyNumberFormat="1" applyFont="1" applyFill="1" applyBorder="1"/>
    <xf numFmtId="0" fontId="5" fillId="5" borderId="29" xfId="0" applyFont="1" applyFill="1" applyBorder="1" applyAlignment="1">
      <alignment horizontal="left" vertical="top" wrapText="1"/>
    </xf>
    <xf numFmtId="171" fontId="2" fillId="0" borderId="0" xfId="0" applyNumberFormat="1" applyFont="1"/>
    <xf numFmtId="10" fontId="2" fillId="0" borderId="0" xfId="1" applyNumberFormat="1" applyFont="1"/>
    <xf numFmtId="10" fontId="2" fillId="3" borderId="0" xfId="1" applyNumberFormat="1" applyFont="1" applyFill="1"/>
    <xf numFmtId="10" fontId="6" fillId="0" borderId="0" xfId="1" applyNumberFormat="1" applyFont="1"/>
    <xf numFmtId="5" fontId="2" fillId="0" borderId="0" xfId="0" applyNumberFormat="1" applyFont="1" applyBorder="1"/>
    <xf numFmtId="0" fontId="2" fillId="0" borderId="41" xfId="0" applyFont="1" applyBorder="1"/>
    <xf numFmtId="169" fontId="2" fillId="0" borderId="0" xfId="0" applyNumberFormat="1" applyFont="1"/>
    <xf numFmtId="169" fontId="6" fillId="0" borderId="0" xfId="0" applyNumberFormat="1" applyFont="1"/>
    <xf numFmtId="0" fontId="9" fillId="0" borderId="0" xfId="0" applyFont="1"/>
    <xf numFmtId="2" fontId="2" fillId="3" borderId="0" xfId="0" applyNumberFormat="1" applyFont="1" applyFill="1" applyBorder="1"/>
    <xf numFmtId="2" fontId="2" fillId="0" borderId="0" xfId="0" applyNumberFormat="1" applyFont="1"/>
    <xf numFmtId="10" fontId="2" fillId="8" borderId="43" xfId="1" applyNumberFormat="1" applyFont="1" applyFill="1" applyBorder="1" applyAlignment="1">
      <alignment horizontal="center"/>
    </xf>
    <xf numFmtId="167" fontId="2" fillId="8" borderId="43" xfId="1" applyNumberFormat="1" applyFont="1" applyFill="1" applyBorder="1" applyAlignment="1">
      <alignment horizontal="center"/>
    </xf>
    <xf numFmtId="167" fontId="2" fillId="8" borderId="43" xfId="1" applyNumberFormat="1" applyFont="1" applyFill="1" applyBorder="1" applyAlignment="1">
      <alignment horizontal="center" vertical="center"/>
    </xf>
    <xf numFmtId="167" fontId="2" fillId="8" borderId="57" xfId="1" applyNumberFormat="1" applyFont="1" applyFill="1" applyBorder="1" applyAlignment="1">
      <alignment horizontal="center" vertical="center"/>
    </xf>
    <xf numFmtId="10" fontId="2" fillId="8" borderId="61" xfId="1" applyNumberFormat="1" applyFont="1" applyFill="1" applyBorder="1" applyAlignment="1">
      <alignment horizontal="center"/>
    </xf>
    <xf numFmtId="169" fontId="2" fillId="8" borderId="11" xfId="0" applyNumberFormat="1" applyFont="1" applyFill="1" applyBorder="1" applyAlignment="1">
      <alignment horizontal="center"/>
    </xf>
    <xf numFmtId="169" fontId="2" fillId="8" borderId="60" xfId="0" applyNumberFormat="1" applyFont="1" applyFill="1" applyBorder="1" applyAlignment="1">
      <alignment horizontal="center"/>
    </xf>
    <xf numFmtId="0" fontId="2" fillId="0" borderId="65" xfId="0" applyFont="1" applyBorder="1"/>
    <xf numFmtId="0" fontId="2" fillId="0" borderId="66" xfId="0" applyFont="1" applyBorder="1"/>
    <xf numFmtId="0" fontId="2" fillId="0" borderId="67" xfId="0" applyFont="1" applyBorder="1"/>
    <xf numFmtId="0" fontId="2" fillId="0" borderId="68" xfId="0" applyFont="1" applyBorder="1"/>
    <xf numFmtId="0" fontId="2" fillId="0" borderId="22" xfId="0" applyFont="1" applyBorder="1"/>
    <xf numFmtId="0" fontId="3" fillId="3" borderId="0" xfId="0" applyFont="1" applyFill="1" applyBorder="1" applyAlignment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/>
    <xf numFmtId="0" fontId="2" fillId="5" borderId="35" xfId="0" applyFont="1" applyFill="1" applyBorder="1" applyAlignment="1">
      <alignment horizontal="left" indent="2"/>
    </xf>
    <xf numFmtId="10" fontId="2" fillId="0" borderId="40" xfId="1" applyNumberFormat="1" applyFont="1" applyBorder="1"/>
    <xf numFmtId="172" fontId="2" fillId="0" borderId="28" xfId="0" applyNumberFormat="1" applyFont="1" applyBorder="1"/>
    <xf numFmtId="169" fontId="2" fillId="0" borderId="40" xfId="0" applyNumberFormat="1" applyFont="1" applyBorder="1" applyAlignment="1">
      <alignment vertical="center"/>
    </xf>
    <xf numFmtId="5" fontId="6" fillId="0" borderId="0" xfId="0" applyNumberFormat="1" applyFont="1"/>
    <xf numFmtId="5" fontId="6" fillId="0" borderId="0" xfId="0" applyNumberFormat="1" applyFont="1" applyBorder="1"/>
    <xf numFmtId="167" fontId="9" fillId="0" borderId="0" xfId="1" applyNumberFormat="1" applyFont="1" applyBorder="1"/>
    <xf numFmtId="5" fontId="6" fillId="9" borderId="70" xfId="0" applyNumberFormat="1" applyFont="1" applyFill="1" applyBorder="1"/>
    <xf numFmtId="5" fontId="12" fillId="9" borderId="70" xfId="0" applyNumberFormat="1" applyFont="1" applyFill="1" applyBorder="1"/>
    <xf numFmtId="0" fontId="10" fillId="0" borderId="0" xfId="0" applyFont="1"/>
    <xf numFmtId="37" fontId="2" fillId="0" borderId="17" xfId="0" applyNumberFormat="1" applyFont="1" applyBorder="1"/>
    <xf numFmtId="41" fontId="2" fillId="0" borderId="17" xfId="0" applyNumberFormat="1" applyFont="1" applyBorder="1"/>
    <xf numFmtId="41" fontId="2" fillId="9" borderId="71" xfId="0" applyNumberFormat="1" applyFont="1" applyFill="1" applyBorder="1"/>
    <xf numFmtId="41" fontId="10" fillId="0" borderId="17" xfId="0" applyNumberFormat="1" applyFont="1" applyBorder="1"/>
    <xf numFmtId="41" fontId="10" fillId="9" borderId="71" xfId="0" applyNumberFormat="1" applyFont="1" applyFill="1" applyBorder="1"/>
    <xf numFmtId="41" fontId="6" fillId="0" borderId="0" xfId="0" applyNumberFormat="1" applyFont="1"/>
    <xf numFmtId="41" fontId="6" fillId="9" borderId="70" xfId="0" applyNumberFormat="1" applyFont="1" applyFill="1" applyBorder="1"/>
    <xf numFmtId="41" fontId="6" fillId="0" borderId="0" xfId="0" applyNumberFormat="1" applyFont="1" applyBorder="1"/>
    <xf numFmtId="41" fontId="2" fillId="0" borderId="0" xfId="0" applyNumberFormat="1" applyFont="1"/>
    <xf numFmtId="41" fontId="2" fillId="9" borderId="70" xfId="0" applyNumberFormat="1" applyFont="1" applyFill="1" applyBorder="1"/>
    <xf numFmtId="41" fontId="2" fillId="0" borderId="0" xfId="0" applyNumberFormat="1" applyFont="1" applyBorder="1"/>
    <xf numFmtId="41" fontId="2" fillId="0" borderId="71" xfId="0" applyNumberFormat="1" applyFont="1" applyBorder="1"/>
    <xf numFmtId="41" fontId="2" fillId="0" borderId="72" xfId="0" applyNumberFormat="1" applyFont="1" applyBorder="1"/>
    <xf numFmtId="1" fontId="2" fillId="0" borderId="0" xfId="0" applyNumberFormat="1" applyFont="1" applyBorder="1"/>
    <xf numFmtId="165" fontId="6" fillId="0" borderId="0" xfId="0" applyNumberFormat="1" applyFont="1" applyFill="1" applyBorder="1"/>
    <xf numFmtId="0" fontId="21" fillId="0" borderId="23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3" fillId="0" borderId="74" xfId="0" applyFont="1" applyBorder="1" applyAlignment="1">
      <alignment horizontal="center"/>
    </xf>
    <xf numFmtId="0" fontId="24" fillId="0" borderId="0" xfId="0" applyFont="1"/>
    <xf numFmtId="1" fontId="2" fillId="0" borderId="0" xfId="0" applyNumberFormat="1" applyFont="1"/>
    <xf numFmtId="1" fontId="9" fillId="0" borderId="0" xfId="0" applyNumberFormat="1" applyFont="1" applyBorder="1"/>
    <xf numFmtId="5" fontId="6" fillId="0" borderId="0" xfId="0" applyNumberFormat="1" applyFont="1" applyFill="1" applyBorder="1"/>
    <xf numFmtId="0" fontId="2" fillId="0" borderId="0" xfId="0" applyFont="1" applyFill="1" applyBorder="1"/>
    <xf numFmtId="1" fontId="10" fillId="0" borderId="0" xfId="0" applyNumberFormat="1" applyFont="1" applyFill="1" applyBorder="1"/>
    <xf numFmtId="167" fontId="2" fillId="0" borderId="0" xfId="1" applyNumberFormat="1" applyFont="1" applyFill="1" applyBorder="1"/>
    <xf numFmtId="167" fontId="10" fillId="0" borderId="0" xfId="1" applyNumberFormat="1" applyFont="1" applyFill="1" applyBorder="1"/>
    <xf numFmtId="174" fontId="25" fillId="0" borderId="0" xfId="85" applyNumberFormat="1" applyFont="1" applyBorder="1"/>
    <xf numFmtId="174" fontId="6" fillId="0" borderId="0" xfId="0" applyNumberFormat="1" applyFont="1"/>
    <xf numFmtId="175" fontId="2" fillId="0" borderId="0" xfId="0" applyNumberFormat="1" applyFont="1" applyBorder="1"/>
    <xf numFmtId="175" fontId="6" fillId="0" borderId="0" xfId="0" applyNumberFormat="1" applyFont="1" applyBorder="1"/>
    <xf numFmtId="168" fontId="5" fillId="0" borderId="0" xfId="0" applyNumberFormat="1" applyFont="1" applyBorder="1" applyAlignment="1">
      <alignment horizontal="right" vertical="center"/>
    </xf>
    <xf numFmtId="168" fontId="5" fillId="0" borderId="14" xfId="0" applyNumberFormat="1" applyFont="1" applyBorder="1" applyAlignment="1">
      <alignment horizontal="right" vertical="center"/>
    </xf>
    <xf numFmtId="1" fontId="9" fillId="0" borderId="14" xfId="0" applyNumberFormat="1" applyFont="1" applyBorder="1"/>
    <xf numFmtId="0" fontId="27" fillId="0" borderId="0" xfId="0" applyFont="1" applyBorder="1" applyAlignment="1">
      <alignment horizontal="left" indent="2"/>
    </xf>
    <xf numFmtId="41" fontId="11" fillId="0" borderId="0" xfId="0" applyNumberFormat="1" applyFont="1" applyBorder="1"/>
    <xf numFmtId="175" fontId="9" fillId="0" borderId="0" xfId="0" applyNumberFormat="1" applyFont="1"/>
    <xf numFmtId="167" fontId="10" fillId="0" borderId="0" xfId="0" applyNumberFormat="1" applyFont="1"/>
    <xf numFmtId="5" fontId="4" fillId="0" borderId="0" xfId="0" applyNumberFormat="1" applyFont="1" applyBorder="1"/>
    <xf numFmtId="171" fontId="10" fillId="0" borderId="0" xfId="0" applyNumberFormat="1" applyFont="1"/>
    <xf numFmtId="37" fontId="2" fillId="0" borderId="0" xfId="0" applyNumberFormat="1" applyFont="1" applyBorder="1"/>
    <xf numFmtId="3" fontId="2" fillId="0" borderId="0" xfId="0" applyNumberFormat="1" applyFont="1" applyBorder="1"/>
    <xf numFmtId="3" fontId="2" fillId="0" borderId="17" xfId="0" applyNumberFormat="1" applyFont="1" applyBorder="1"/>
    <xf numFmtId="3" fontId="6" fillId="0" borderId="0" xfId="0" applyNumberFormat="1" applyFont="1" applyBorder="1"/>
    <xf numFmtId="3" fontId="6" fillId="0" borderId="17" xfId="0" applyNumberFormat="1" applyFont="1" applyBorder="1"/>
    <xf numFmtId="3" fontId="9" fillId="0" borderId="0" xfId="0" applyNumberFormat="1" applyFont="1"/>
    <xf numFmtId="37" fontId="2" fillId="0" borderId="18" xfId="0" applyNumberFormat="1" applyFont="1" applyBorder="1"/>
    <xf numFmtId="37" fontId="10" fillId="0" borderId="18" xfId="0" applyNumberFormat="1" applyFont="1" applyBorder="1"/>
    <xf numFmtId="165" fontId="5" fillId="0" borderId="0" xfId="0" applyNumberFormat="1" applyFont="1" applyBorder="1"/>
    <xf numFmtId="5" fontId="6" fillId="0" borderId="14" xfId="0" applyNumberFormat="1" applyFont="1" applyBorder="1"/>
    <xf numFmtId="175" fontId="9" fillId="0" borderId="0" xfId="0" applyNumberFormat="1" applyFont="1" applyBorder="1"/>
    <xf numFmtId="175" fontId="9" fillId="0" borderId="14" xfId="0" applyNumberFormat="1" applyFont="1" applyBorder="1"/>
    <xf numFmtId="167" fontId="10" fillId="0" borderId="14" xfId="1" applyNumberFormat="1" applyFont="1" applyBorder="1"/>
    <xf numFmtId="37" fontId="2" fillId="0" borderId="14" xfId="0" applyNumberFormat="1" applyFont="1" applyBorder="1"/>
    <xf numFmtId="37" fontId="4" fillId="0" borderId="14" xfId="0" applyNumberFormat="1" applyFont="1" applyBorder="1"/>
    <xf numFmtId="37" fontId="4" fillId="0" borderId="12" xfId="0" applyNumberFormat="1" applyFont="1" applyBorder="1"/>
    <xf numFmtId="37" fontId="4" fillId="0" borderId="0" xfId="0" applyNumberFormat="1" applyFont="1" applyBorder="1"/>
    <xf numFmtId="37" fontId="4" fillId="0" borderId="18" xfId="0" applyNumberFormat="1" applyFont="1" applyBorder="1"/>
    <xf numFmtId="37" fontId="4" fillId="0" borderId="23" xfId="0" applyNumberFormat="1" applyFont="1" applyBorder="1"/>
    <xf numFmtId="37" fontId="4" fillId="0" borderId="17" xfId="0" applyNumberFormat="1" applyFont="1" applyBorder="1"/>
    <xf numFmtId="3" fontId="26" fillId="0" borderId="0" xfId="0" applyNumberFormat="1" applyFont="1" applyBorder="1" applyAlignment="1"/>
    <xf numFmtId="175" fontId="6" fillId="0" borderId="21" xfId="0" applyNumberFormat="1" applyFont="1" applyBorder="1"/>
    <xf numFmtId="5" fontId="6" fillId="0" borderId="21" xfId="0" applyNumberFormat="1" applyFont="1" applyBorder="1"/>
    <xf numFmtId="37" fontId="6" fillId="0" borderId="21" xfId="0" applyNumberFormat="1" applyFont="1" applyBorder="1"/>
    <xf numFmtId="37" fontId="6" fillId="0" borderId="12" xfId="0" applyNumberFormat="1" applyFont="1" applyBorder="1"/>
    <xf numFmtId="37" fontId="6" fillId="0" borderId="0" xfId="0" applyNumberFormat="1" applyFont="1" applyBorder="1"/>
    <xf numFmtId="37" fontId="6" fillId="0" borderId="73" xfId="0" applyNumberFormat="1" applyFont="1" applyBorder="1"/>
    <xf numFmtId="0" fontId="3" fillId="3" borderId="0" xfId="0" applyFont="1" applyFill="1"/>
    <xf numFmtId="5" fontId="3" fillId="3" borderId="0" xfId="0" applyNumberFormat="1" applyFont="1" applyFill="1"/>
    <xf numFmtId="37" fontId="9" fillId="0" borderId="0" xfId="0" applyNumberFormat="1" applyFont="1" applyBorder="1"/>
    <xf numFmtId="175" fontId="9" fillId="0" borderId="0" xfId="85" applyNumberFormat="1" applyFont="1" applyBorder="1"/>
    <xf numFmtId="175" fontId="2" fillId="0" borderId="0" xfId="85" applyNumberFormat="1" applyFont="1"/>
    <xf numFmtId="175" fontId="2" fillId="0" borderId="0" xfId="85" applyNumberFormat="1" applyFont="1" applyBorder="1"/>
    <xf numFmtId="3" fontId="9" fillId="0" borderId="0" xfId="85" applyNumberFormat="1" applyFont="1" applyBorder="1"/>
    <xf numFmtId="175" fontId="9" fillId="0" borderId="14" xfId="85" applyNumberFormat="1" applyFont="1" applyBorder="1"/>
    <xf numFmtId="3" fontId="9" fillId="0" borderId="14" xfId="85" applyNumberFormat="1" applyFont="1" applyBorder="1"/>
    <xf numFmtId="37" fontId="9" fillId="0" borderId="17" xfId="0" applyNumberFormat="1" applyFont="1" applyBorder="1"/>
    <xf numFmtId="37" fontId="9" fillId="0" borderId="18" xfId="0" applyNumberFormat="1" applyFont="1" applyBorder="1"/>
    <xf numFmtId="3" fontId="9" fillId="0" borderId="17" xfId="85" applyNumberFormat="1" applyFont="1" applyBorder="1"/>
    <xf numFmtId="3" fontId="9" fillId="0" borderId="18" xfId="85" applyNumberFormat="1" applyFont="1" applyBorder="1"/>
    <xf numFmtId="0" fontId="5" fillId="0" borderId="0" xfId="0" applyFont="1"/>
    <xf numFmtId="175" fontId="2" fillId="0" borderId="14" xfId="0" applyNumberFormat="1" applyFont="1" applyBorder="1"/>
    <xf numFmtId="175" fontId="2" fillId="0" borderId="0" xfId="1" applyNumberFormat="1" applyFont="1" applyBorder="1"/>
    <xf numFmtId="175" fontId="2" fillId="0" borderId="14" xfId="1" applyNumberFormat="1" applyFont="1" applyBorder="1"/>
    <xf numFmtId="16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171" fontId="2" fillId="0" borderId="0" xfId="0" applyNumberFormat="1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Border="1"/>
    <xf numFmtId="10" fontId="2" fillId="0" borderId="0" xfId="1" applyNumberFormat="1" applyFont="1" applyFill="1" applyBorder="1"/>
    <xf numFmtId="37" fontId="6" fillId="0" borderId="14" xfId="0" applyNumberFormat="1" applyFont="1" applyBorder="1"/>
    <xf numFmtId="37" fontId="6" fillId="3" borderId="0" xfId="0" applyNumberFormat="1" applyFont="1" applyFill="1" applyBorder="1"/>
    <xf numFmtId="167" fontId="28" fillId="5" borderId="31" xfId="0" applyNumberFormat="1" applyFont="1" applyFill="1" applyBorder="1" applyAlignment="1">
      <alignment vertical="center"/>
    </xf>
    <xf numFmtId="0" fontId="4" fillId="3" borderId="27" xfId="0" applyFont="1" applyFill="1" applyBorder="1" applyAlignment="1">
      <alignment vertical="top"/>
    </xf>
    <xf numFmtId="165" fontId="6" fillId="3" borderId="28" xfId="0" applyNumberFormat="1" applyFont="1" applyFill="1" applyBorder="1" applyAlignment="1">
      <alignment vertical="top"/>
    </xf>
    <xf numFmtId="0" fontId="5" fillId="3" borderId="27" xfId="0" applyFont="1" applyFill="1" applyBorder="1" applyAlignment="1">
      <alignment vertical="top"/>
    </xf>
    <xf numFmtId="3" fontId="9" fillId="8" borderId="28" xfId="0" applyNumberFormat="1" applyFont="1" applyFill="1" applyBorder="1"/>
    <xf numFmtId="37" fontId="9" fillId="8" borderId="28" xfId="0" applyNumberFormat="1" applyFont="1" applyFill="1" applyBorder="1"/>
    <xf numFmtId="7" fontId="16" fillId="8" borderId="43" xfId="0" applyNumberFormat="1" applyFont="1" applyFill="1" applyBorder="1"/>
    <xf numFmtId="173" fontId="2" fillId="3" borderId="0" xfId="0" applyNumberFormat="1" applyFont="1" applyFill="1" applyBorder="1" applyAlignment="1">
      <alignment horizontal="center"/>
    </xf>
    <xf numFmtId="173" fontId="2" fillId="3" borderId="38" xfId="0" applyNumberFormat="1" applyFont="1" applyFill="1" applyBorder="1" applyAlignment="1">
      <alignment horizontal="center"/>
    </xf>
    <xf numFmtId="173" fontId="2" fillId="0" borderId="44" xfId="0" applyNumberFormat="1" applyFont="1" applyFill="1" applyBorder="1" applyAlignment="1">
      <alignment horizontal="center"/>
    </xf>
    <xf numFmtId="173" fontId="2" fillId="7" borderId="46" xfId="0" applyNumberFormat="1" applyFont="1" applyFill="1" applyBorder="1" applyAlignment="1">
      <alignment horizontal="center"/>
    </xf>
    <xf numFmtId="173" fontId="2" fillId="7" borderId="47" xfId="0" applyNumberFormat="1" applyFont="1" applyFill="1" applyBorder="1" applyAlignment="1">
      <alignment horizontal="center"/>
    </xf>
    <xf numFmtId="173" fontId="2" fillId="7" borderId="48" xfId="0" applyNumberFormat="1" applyFont="1" applyFill="1" applyBorder="1" applyAlignment="1">
      <alignment horizontal="center"/>
    </xf>
    <xf numFmtId="173" fontId="2" fillId="0" borderId="49" xfId="0" applyNumberFormat="1" applyFont="1" applyFill="1" applyBorder="1" applyAlignment="1">
      <alignment horizontal="center"/>
    </xf>
    <xf numFmtId="173" fontId="2" fillId="7" borderId="50" xfId="0" applyNumberFormat="1" applyFont="1" applyFill="1" applyBorder="1" applyAlignment="1">
      <alignment horizontal="center"/>
    </xf>
    <xf numFmtId="173" fontId="2" fillId="5" borderId="51" xfId="0" applyNumberFormat="1" applyFont="1" applyFill="1" applyBorder="1" applyAlignment="1">
      <alignment horizontal="center"/>
    </xf>
    <xf numFmtId="173" fontId="2" fillId="7" borderId="52" xfId="0" applyNumberFormat="1" applyFont="1" applyFill="1" applyBorder="1" applyAlignment="1">
      <alignment horizontal="center"/>
    </xf>
    <xf numFmtId="173" fontId="2" fillId="7" borderId="53" xfId="0" applyNumberFormat="1" applyFont="1" applyFill="1" applyBorder="1" applyAlignment="1">
      <alignment horizontal="center"/>
    </xf>
    <xf numFmtId="173" fontId="2" fillId="7" borderId="54" xfId="0" applyNumberFormat="1" applyFont="1" applyFill="1" applyBorder="1" applyAlignment="1">
      <alignment horizontal="center"/>
    </xf>
    <xf numFmtId="173" fontId="2" fillId="7" borderId="55" xfId="0" applyNumberFormat="1" applyFont="1" applyFill="1" applyBorder="1" applyAlignment="1">
      <alignment horizontal="center"/>
    </xf>
    <xf numFmtId="173" fontId="2" fillId="0" borderId="57" xfId="0" applyNumberFormat="1" applyFont="1" applyFill="1" applyBorder="1" applyAlignment="1">
      <alignment horizontal="center"/>
    </xf>
    <xf numFmtId="173" fontId="2" fillId="0" borderId="58" xfId="0" applyNumberFormat="1" applyFont="1" applyFill="1" applyBorder="1" applyAlignment="1">
      <alignment horizontal="center"/>
    </xf>
    <xf numFmtId="173" fontId="2" fillId="0" borderId="59" xfId="0" applyNumberFormat="1" applyFont="1" applyFill="1" applyBorder="1" applyAlignment="1">
      <alignment horizontal="center"/>
    </xf>
    <xf numFmtId="167" fontId="2" fillId="0" borderId="0" xfId="1" applyNumberFormat="1" applyFont="1" applyFill="1" applyBorder="1" applyAlignment="1">
      <alignment horizontal="center"/>
    </xf>
    <xf numFmtId="171" fontId="2" fillId="0" borderId="0" xfId="0" applyNumberFormat="1" applyFont="1" applyFill="1" applyBorder="1" applyAlignment="1">
      <alignment horizontal="center"/>
    </xf>
    <xf numFmtId="0" fontId="24" fillId="0" borderId="0" xfId="0" applyFont="1" applyAlignment="1">
      <alignment horizontal="left"/>
    </xf>
    <xf numFmtId="177" fontId="6" fillId="0" borderId="0" xfId="0" applyNumberFormat="1" applyFont="1" applyFill="1" applyBorder="1"/>
    <xf numFmtId="0" fontId="29" fillId="3" borderId="0" xfId="0" applyFont="1" applyFill="1" applyBorder="1" applyAlignment="1"/>
    <xf numFmtId="0" fontId="29" fillId="3" borderId="0" xfId="0" applyFont="1" applyFill="1" applyBorder="1"/>
    <xf numFmtId="0" fontId="30" fillId="3" borderId="0" xfId="0" applyFont="1" applyFill="1" applyBorder="1"/>
    <xf numFmtId="0" fontId="11" fillId="0" borderId="0" xfId="0" applyFont="1"/>
    <xf numFmtId="0" fontId="2" fillId="0" borderId="84" xfId="0" applyFont="1" applyBorder="1"/>
    <xf numFmtId="5" fontId="4" fillId="0" borderId="84" xfId="0" applyNumberFormat="1" applyFont="1" applyBorder="1"/>
    <xf numFmtId="37" fontId="2" fillId="0" borderId="84" xfId="0" applyNumberFormat="1" applyFont="1" applyBorder="1"/>
    <xf numFmtId="5" fontId="6" fillId="0" borderId="84" xfId="0" applyNumberFormat="1" applyFont="1" applyBorder="1"/>
    <xf numFmtId="175" fontId="6" fillId="0" borderId="84" xfId="0" applyNumberFormat="1" applyFont="1" applyBorder="1"/>
    <xf numFmtId="166" fontId="2" fillId="0" borderId="84" xfId="0" applyNumberFormat="1" applyFont="1" applyBorder="1"/>
    <xf numFmtId="5" fontId="2" fillId="0" borderId="84" xfId="0" applyNumberFormat="1" applyFont="1" applyBorder="1"/>
    <xf numFmtId="37" fontId="10" fillId="0" borderId="84" xfId="0" applyNumberFormat="1" applyFont="1" applyBorder="1"/>
    <xf numFmtId="37" fontId="2" fillId="0" borderId="74" xfId="0" applyNumberFormat="1" applyFont="1" applyBorder="1"/>
    <xf numFmtId="37" fontId="6" fillId="0" borderId="84" xfId="0" applyNumberFormat="1" applyFont="1" applyBorder="1"/>
    <xf numFmtId="37" fontId="6" fillId="0" borderId="41" xfId="0" applyNumberFormat="1" applyFont="1" applyBorder="1"/>
    <xf numFmtId="165" fontId="2" fillId="0" borderId="84" xfId="0" applyNumberFormat="1" applyFont="1" applyBorder="1"/>
    <xf numFmtId="41" fontId="11" fillId="0" borderId="84" xfId="0" applyNumberFormat="1" applyFont="1" applyBorder="1"/>
    <xf numFmtId="1" fontId="2" fillId="0" borderId="84" xfId="0" applyNumberFormat="1" applyFont="1" applyBorder="1"/>
    <xf numFmtId="1" fontId="9" fillId="0" borderId="84" xfId="0" applyNumberFormat="1" applyFont="1" applyBorder="1"/>
    <xf numFmtId="0" fontId="4" fillId="5" borderId="15" xfId="0" applyFont="1" applyFill="1" applyBorder="1" applyAlignment="1">
      <alignment horizontal="center"/>
    </xf>
    <xf numFmtId="37" fontId="6" fillId="0" borderId="85" xfId="0" applyNumberFormat="1" applyFont="1" applyBorder="1"/>
    <xf numFmtId="0" fontId="5" fillId="3" borderId="86" xfId="0" applyFont="1" applyFill="1" applyBorder="1"/>
    <xf numFmtId="3" fontId="6" fillId="0" borderId="86" xfId="0" applyNumberFormat="1" applyFont="1" applyBorder="1"/>
    <xf numFmtId="164" fontId="4" fillId="5" borderId="16" xfId="0" applyNumberFormat="1" applyFont="1" applyFill="1" applyBorder="1" applyAlignment="1">
      <alignment horizontal="center"/>
    </xf>
    <xf numFmtId="175" fontId="32" fillId="0" borderId="0" xfId="0" applyNumberFormat="1" applyFont="1" applyBorder="1"/>
    <xf numFmtId="5" fontId="32" fillId="0" borderId="84" xfId="0" applyNumberFormat="1" applyFont="1" applyBorder="1"/>
    <xf numFmtId="175" fontId="33" fillId="0" borderId="0" xfId="0" applyNumberFormat="1" applyFont="1" applyBorder="1"/>
    <xf numFmtId="37" fontId="32" fillId="0" borderId="84" xfId="0" applyNumberFormat="1" applyFont="1" applyBorder="1"/>
    <xf numFmtId="37" fontId="4" fillId="0" borderId="74" xfId="0" applyNumberFormat="1" applyFont="1" applyBorder="1"/>
    <xf numFmtId="41" fontId="5" fillId="0" borderId="0" xfId="0" applyNumberFormat="1" applyFont="1"/>
    <xf numFmtId="41" fontId="33" fillId="0" borderId="0" xfId="0" applyNumberFormat="1" applyFont="1"/>
    <xf numFmtId="3" fontId="33" fillId="0" borderId="14" xfId="0" applyNumberFormat="1" applyFont="1" applyBorder="1" applyAlignment="1"/>
    <xf numFmtId="0" fontId="5" fillId="3" borderId="21" xfId="0" applyFont="1" applyFill="1" applyBorder="1"/>
    <xf numFmtId="175" fontId="2" fillId="0" borderId="84" xfId="0" applyNumberFormat="1" applyFont="1" applyBorder="1"/>
    <xf numFmtId="175" fontId="9" fillId="0" borderId="17" xfId="0" applyNumberFormat="1" applyFont="1" applyBorder="1"/>
    <xf numFmtId="0" fontId="10" fillId="0" borderId="14" xfId="0" applyFont="1" applyBorder="1"/>
    <xf numFmtId="37" fontId="32" fillId="0" borderId="17" xfId="0" applyNumberFormat="1" applyFont="1" applyBorder="1"/>
    <xf numFmtId="37" fontId="32" fillId="0" borderId="0" xfId="0" applyNumberFormat="1" applyFont="1" applyBorder="1"/>
    <xf numFmtId="41" fontId="5" fillId="0" borderId="0" xfId="0" applyNumberFormat="1" applyFont="1" applyBorder="1"/>
    <xf numFmtId="5" fontId="6" fillId="3" borderId="70" xfId="0" applyNumberFormat="1" applyFont="1" applyFill="1" applyBorder="1"/>
    <xf numFmtId="41" fontId="6" fillId="0" borderId="21" xfId="0" applyNumberFormat="1" applyFont="1" applyBorder="1"/>
    <xf numFmtId="41" fontId="6" fillId="9" borderId="87" xfId="0" applyNumberFormat="1" applyFont="1" applyFill="1" applyBorder="1"/>
    <xf numFmtId="9" fontId="2" fillId="0" borderId="0" xfId="1" applyFont="1" applyBorder="1"/>
    <xf numFmtId="41" fontId="4" fillId="9" borderId="71" xfId="0" applyNumberFormat="1" applyFont="1" applyFill="1" applyBorder="1"/>
    <xf numFmtId="178" fontId="10" fillId="9" borderId="71" xfId="0" applyNumberFormat="1" applyFont="1" applyFill="1" applyBorder="1"/>
    <xf numFmtId="5" fontId="6" fillId="9" borderId="87" xfId="0" applyNumberFormat="1" applyFont="1" applyFill="1" applyBorder="1"/>
    <xf numFmtId="41" fontId="6" fillId="9" borderId="71" xfId="0" applyNumberFormat="1" applyFont="1" applyFill="1" applyBorder="1"/>
    <xf numFmtId="164" fontId="2" fillId="5" borderId="88" xfId="0" applyNumberFormat="1" applyFont="1" applyFill="1" applyBorder="1" applyAlignment="1">
      <alignment horizontal="center"/>
    </xf>
    <xf numFmtId="164" fontId="3" fillId="2" borderId="83" xfId="0" applyNumberFormat="1" applyFont="1" applyFill="1" applyBorder="1" applyAlignment="1">
      <alignment horizontal="center"/>
    </xf>
    <xf numFmtId="164" fontId="3" fillId="2" borderId="89" xfId="0" applyNumberFormat="1" applyFont="1" applyFill="1" applyBorder="1" applyAlignment="1">
      <alignment horizontal="center"/>
    </xf>
    <xf numFmtId="9" fontId="10" fillId="0" borderId="0" xfId="1" applyFont="1" applyBorder="1"/>
    <xf numFmtId="175" fontId="2" fillId="0" borderId="0" xfId="0" applyNumberFormat="1" applyFont="1"/>
    <xf numFmtId="1" fontId="32" fillId="0" borderId="0" xfId="0" applyNumberFormat="1" applyFont="1" applyBorder="1"/>
    <xf numFmtId="175" fontId="6" fillId="0" borderId="85" xfId="0" applyNumberFormat="1" applyFont="1" applyBorder="1"/>
    <xf numFmtId="41" fontId="6" fillId="0" borderId="14" xfId="0" applyNumberFormat="1" applyFont="1" applyBorder="1"/>
    <xf numFmtId="167" fontId="6" fillId="0" borderId="0" xfId="1" applyNumberFormat="1" applyFont="1" applyFill="1" applyBorder="1"/>
    <xf numFmtId="3" fontId="6" fillId="0" borderId="18" xfId="0" applyNumberFormat="1" applyFont="1" applyBorder="1"/>
    <xf numFmtId="167" fontId="2" fillId="0" borderId="0" xfId="0" applyNumberFormat="1" applyFont="1"/>
    <xf numFmtId="164" fontId="3" fillId="3" borderId="13" xfId="0" applyNumberFormat="1" applyFont="1" applyFill="1" applyBorder="1" applyAlignment="1">
      <alignment horizontal="center"/>
    </xf>
    <xf numFmtId="37" fontId="32" fillId="0" borderId="14" xfId="0" applyNumberFormat="1" applyFont="1" applyBorder="1"/>
    <xf numFmtId="5" fontId="32" fillId="0" borderId="0" xfId="0" applyNumberFormat="1" applyFont="1" applyBorder="1"/>
    <xf numFmtId="5" fontId="32" fillId="0" borderId="14" xfId="0" applyNumberFormat="1" applyFont="1" applyBorder="1"/>
    <xf numFmtId="9" fontId="10" fillId="0" borderId="14" xfId="1" applyFont="1" applyBorder="1"/>
    <xf numFmtId="37" fontId="9" fillId="0" borderId="23" xfId="0" applyNumberFormat="1" applyFont="1" applyBorder="1"/>
    <xf numFmtId="175" fontId="32" fillId="0" borderId="12" xfId="0" applyNumberFormat="1" applyFont="1" applyBorder="1"/>
    <xf numFmtId="5" fontId="2" fillId="0" borderId="0" xfId="0" applyNumberFormat="1" applyFont="1"/>
    <xf numFmtId="5" fontId="2" fillId="9" borderId="70" xfId="0" applyNumberFormat="1" applyFont="1" applyFill="1" applyBorder="1"/>
    <xf numFmtId="167" fontId="10" fillId="0" borderId="0" xfId="0" applyNumberFormat="1" applyFont="1" applyBorder="1"/>
    <xf numFmtId="167" fontId="4" fillId="0" borderId="0" xfId="1" applyNumberFormat="1" applyFont="1" applyBorder="1"/>
    <xf numFmtId="167" fontId="5" fillId="0" borderId="0" xfId="1" applyNumberFormat="1" applyFont="1" applyBorder="1"/>
    <xf numFmtId="167" fontId="4" fillId="0" borderId="0" xfId="1" applyNumberFormat="1" applyFont="1" applyFill="1" applyBorder="1"/>
    <xf numFmtId="0" fontId="2" fillId="3" borderId="17" xfId="0" applyFont="1" applyFill="1" applyBorder="1" applyAlignment="1">
      <alignment horizontal="left" indent="1"/>
    </xf>
    <xf numFmtId="0" fontId="2" fillId="3" borderId="0" xfId="0" applyFont="1" applyFill="1" applyBorder="1" applyAlignment="1">
      <alignment horizontal="left" indent="1"/>
    </xf>
    <xf numFmtId="37" fontId="32" fillId="3" borderId="17" xfId="0" applyNumberFormat="1" applyFont="1" applyFill="1" applyBorder="1"/>
    <xf numFmtId="165" fontId="6" fillId="0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7" fontId="32" fillId="3" borderId="0" xfId="0" applyNumberFormat="1" applyFont="1" applyFill="1" applyBorder="1"/>
    <xf numFmtId="0" fontId="4" fillId="3" borderId="27" xfId="0" applyFont="1" applyFill="1" applyBorder="1" applyAlignment="1">
      <alignment horizontal="left" indent="1"/>
    </xf>
    <xf numFmtId="5" fontId="4" fillId="3" borderId="28" xfId="0" applyNumberFormat="1" applyFont="1" applyFill="1" applyBorder="1"/>
    <xf numFmtId="0" fontId="4" fillId="3" borderId="27" xfId="0" applyFont="1" applyFill="1" applyBorder="1"/>
    <xf numFmtId="168" fontId="4" fillId="3" borderId="28" xfId="0" applyNumberFormat="1" applyFont="1" applyFill="1" applyBorder="1" applyAlignment="1">
      <alignment horizontal="right" vertical="center"/>
    </xf>
    <xf numFmtId="0" fontId="5" fillId="3" borderId="27" xfId="0" applyFont="1" applyFill="1" applyBorder="1"/>
    <xf numFmtId="0" fontId="2" fillId="9" borderId="27" xfId="0" applyFont="1" applyFill="1" applyBorder="1"/>
    <xf numFmtId="167" fontId="2" fillId="9" borderId="28" xfId="1" applyNumberFormat="1" applyFont="1" applyFill="1" applyBorder="1" applyAlignment="1">
      <alignment horizontal="right" vertical="center"/>
    </xf>
    <xf numFmtId="0" fontId="4" fillId="9" borderId="27" xfId="0" applyFont="1" applyFill="1" applyBorder="1"/>
    <xf numFmtId="0" fontId="4" fillId="9" borderId="28" xfId="0" applyFont="1" applyFill="1" applyBorder="1"/>
    <xf numFmtId="0" fontId="4" fillId="9" borderId="27" xfId="0" applyFont="1" applyFill="1" applyBorder="1" applyAlignment="1">
      <alignment horizontal="left" indent="1"/>
    </xf>
    <xf numFmtId="9" fontId="4" fillId="9" borderId="28" xfId="1" applyNumberFormat="1" applyFont="1" applyFill="1" applyBorder="1"/>
    <xf numFmtId="0" fontId="4" fillId="3" borderId="39" xfId="0" applyFont="1" applyFill="1" applyBorder="1" applyAlignment="1">
      <alignment horizontal="left" indent="1"/>
    </xf>
    <xf numFmtId="37" fontId="4" fillId="3" borderId="40" xfId="0" applyNumberFormat="1" applyFont="1" applyFill="1" applyBorder="1"/>
    <xf numFmtId="0" fontId="4" fillId="9" borderId="39" xfId="0" applyFont="1" applyFill="1" applyBorder="1" applyAlignment="1">
      <alignment horizontal="left" indent="1"/>
    </xf>
    <xf numFmtId="41" fontId="12" fillId="0" borderId="14" xfId="0" applyNumberFormat="1" applyFont="1" applyBorder="1"/>
    <xf numFmtId="37" fontId="32" fillId="0" borderId="12" xfId="0" applyNumberFormat="1" applyFont="1" applyBorder="1"/>
    <xf numFmtId="41" fontId="5" fillId="0" borderId="23" xfId="0" applyNumberFormat="1" applyFont="1" applyBorder="1"/>
    <xf numFmtId="41" fontId="5" fillId="0" borderId="17" xfId="0" applyNumberFormat="1" applyFont="1" applyBorder="1"/>
    <xf numFmtId="37" fontId="32" fillId="0" borderId="74" xfId="0" applyNumberFormat="1" applyFont="1" applyBorder="1"/>
    <xf numFmtId="41" fontId="12" fillId="0" borderId="18" xfId="0" applyNumberFormat="1" applyFont="1" applyBorder="1"/>
    <xf numFmtId="41" fontId="5" fillId="0" borderId="84" xfId="0" applyNumberFormat="1" applyFont="1" applyBorder="1"/>
    <xf numFmtId="41" fontId="2" fillId="0" borderId="85" xfId="0" applyNumberFormat="1" applyFont="1" applyBorder="1"/>
    <xf numFmtId="5" fontId="6" fillId="0" borderId="85" xfId="0" applyNumberFormat="1" applyFont="1" applyBorder="1"/>
    <xf numFmtId="171" fontId="4" fillId="0" borderId="0" xfId="0" applyNumberFormat="1" applyFont="1" applyBorder="1"/>
    <xf numFmtId="166" fontId="10" fillId="3" borderId="28" xfId="0" applyNumberFormat="1" applyFont="1" applyFill="1" applyBorder="1"/>
    <xf numFmtId="167" fontId="10" fillId="3" borderId="40" xfId="1" applyNumberFormat="1" applyFont="1" applyFill="1" applyBorder="1" applyAlignment="1">
      <alignment horizontal="right" vertical="center"/>
    </xf>
    <xf numFmtId="167" fontId="10" fillId="3" borderId="28" xfId="1" applyNumberFormat="1" applyFont="1" applyFill="1" applyBorder="1" applyAlignment="1">
      <alignment horizontal="right" vertical="center"/>
    </xf>
    <xf numFmtId="167" fontId="10" fillId="9" borderId="28" xfId="1" applyNumberFormat="1" applyFont="1" applyFill="1" applyBorder="1"/>
    <xf numFmtId="167" fontId="32" fillId="9" borderId="40" xfId="1" applyNumberFormat="1" applyFont="1" applyFill="1" applyBorder="1" applyAlignment="1">
      <alignment horizontal="right" vertical="center"/>
    </xf>
    <xf numFmtId="180" fontId="2" fillId="8" borderId="28" xfId="0" applyNumberFormat="1" applyFont="1" applyFill="1" applyBorder="1"/>
    <xf numFmtId="180" fontId="2" fillId="0" borderId="28" xfId="0" applyNumberFormat="1" applyFont="1" applyBorder="1"/>
    <xf numFmtId="180" fontId="9" fillId="3" borderId="28" xfId="0" applyNumberFormat="1" applyFont="1" applyFill="1" applyBorder="1" applyAlignment="1">
      <alignment vertical="top"/>
    </xf>
    <xf numFmtId="173" fontId="6" fillId="5" borderId="31" xfId="0" applyNumberFormat="1" applyFont="1" applyFill="1" applyBorder="1" applyAlignment="1">
      <alignment vertical="top"/>
    </xf>
    <xf numFmtId="179" fontId="6" fillId="3" borderId="28" xfId="0" applyNumberFormat="1" applyFont="1" applyFill="1" applyBorder="1" applyAlignment="1">
      <alignment vertical="top"/>
    </xf>
    <xf numFmtId="2" fontId="10" fillId="8" borderId="28" xfId="0" applyNumberFormat="1" applyFont="1" applyFill="1" applyBorder="1"/>
    <xf numFmtId="175" fontId="32" fillId="0" borderId="0" xfId="85" applyNumberFormat="1" applyFont="1"/>
    <xf numFmtId="1" fontId="32" fillId="0" borderId="0" xfId="0" applyNumberFormat="1" applyFont="1"/>
    <xf numFmtId="179" fontId="4" fillId="3" borderId="40" xfId="0" applyNumberFormat="1" applyFont="1" applyFill="1" applyBorder="1"/>
    <xf numFmtId="180" fontId="4" fillId="3" borderId="28" xfId="0" applyNumberFormat="1" applyFont="1" applyFill="1" applyBorder="1" applyAlignment="1">
      <alignment horizontal="right" vertical="center"/>
    </xf>
    <xf numFmtId="180" fontId="4" fillId="3" borderId="28" xfId="0" applyNumberFormat="1" applyFont="1" applyFill="1" applyBorder="1"/>
    <xf numFmtId="0" fontId="2" fillId="3" borderId="0" xfId="0" applyFont="1" applyFill="1"/>
    <xf numFmtId="0" fontId="6" fillId="3" borderId="0" xfId="0" applyFont="1" applyFill="1"/>
    <xf numFmtId="0" fontId="31" fillId="0" borderId="0" xfId="0" applyFont="1"/>
    <xf numFmtId="0" fontId="31" fillId="0" borderId="0" xfId="0" applyFont="1" applyFill="1" applyBorder="1" applyAlignment="1"/>
    <xf numFmtId="0" fontId="31" fillId="0" borderId="0" xfId="0" applyFont="1" applyFill="1" applyBorder="1"/>
    <xf numFmtId="0" fontId="31" fillId="0" borderId="0" xfId="0" applyFont="1" applyFill="1" applyBorder="1" applyAlignment="1">
      <alignment horizontal="center"/>
    </xf>
    <xf numFmtId="171" fontId="31" fillId="0" borderId="0" xfId="0" applyNumberFormat="1" applyFont="1" applyFill="1" applyBorder="1"/>
    <xf numFmtId="167" fontId="31" fillId="0" borderId="0" xfId="1" applyNumberFormat="1" applyFont="1" applyFill="1" applyBorder="1"/>
    <xf numFmtId="167" fontId="31" fillId="0" borderId="0" xfId="0" applyNumberFormat="1" applyFont="1" applyFill="1" applyBorder="1"/>
    <xf numFmtId="10" fontId="31" fillId="0" borderId="0" xfId="0" applyNumberFormat="1" applyFont="1" applyFill="1" applyBorder="1"/>
    <xf numFmtId="0" fontId="35" fillId="0" borderId="0" xfId="0" applyFont="1"/>
    <xf numFmtId="9" fontId="31" fillId="0" borderId="0" xfId="1" applyFont="1" applyFill="1" applyBorder="1" applyAlignment="1">
      <alignment horizontal="center"/>
    </xf>
    <xf numFmtId="7" fontId="6" fillId="3" borderId="0" xfId="0" applyNumberFormat="1" applyFont="1" applyFill="1" applyBorder="1" applyAlignment="1">
      <alignment horizontal="center"/>
    </xf>
    <xf numFmtId="169" fontId="2" fillId="3" borderId="0" xfId="0" applyNumberFormat="1" applyFont="1" applyFill="1" applyBorder="1" applyAlignment="1">
      <alignment horizontal="center"/>
    </xf>
    <xf numFmtId="9" fontId="31" fillId="0" borderId="0" xfId="1" applyFont="1" applyFill="1" applyBorder="1"/>
    <xf numFmtId="10" fontId="31" fillId="0" borderId="0" xfId="0" applyNumberFormat="1" applyFont="1" applyFill="1" applyBorder="1" applyAlignment="1">
      <alignment horizontal="center"/>
    </xf>
    <xf numFmtId="179" fontId="2" fillId="3" borderId="0" xfId="0" applyNumberFormat="1" applyFont="1" applyFill="1" applyBorder="1"/>
    <xf numFmtId="179" fontId="2" fillId="0" borderId="0" xfId="85" applyNumberFormat="1" applyFont="1" applyBorder="1"/>
    <xf numFmtId="0" fontId="2" fillId="0" borderId="0" xfId="0" applyFont="1" applyAlignment="1"/>
    <xf numFmtId="167" fontId="2" fillId="3" borderId="0" xfId="1" applyNumberFormat="1" applyFont="1" applyFill="1" applyBorder="1" applyAlignment="1">
      <alignment horizontal="center"/>
    </xf>
    <xf numFmtId="169" fontId="2" fillId="5" borderId="101" xfId="0" applyNumberFormat="1" applyFont="1" applyFill="1" applyBorder="1" applyAlignment="1">
      <alignment horizontal="center"/>
    </xf>
    <xf numFmtId="169" fontId="2" fillId="5" borderId="100" xfId="0" applyNumberFormat="1" applyFont="1" applyFill="1" applyBorder="1" applyAlignment="1">
      <alignment horizontal="center"/>
    </xf>
    <xf numFmtId="169" fontId="2" fillId="5" borderId="102" xfId="0" applyNumberFormat="1" applyFont="1" applyFill="1" applyBorder="1" applyAlignment="1">
      <alignment horizontal="center"/>
    </xf>
    <xf numFmtId="173" fontId="2" fillId="3" borderId="96" xfId="0" applyNumberFormat="1" applyFont="1" applyFill="1" applyBorder="1" applyAlignment="1">
      <alignment horizontal="center"/>
    </xf>
    <xf numFmtId="173" fontId="2" fillId="3" borderId="97" xfId="0" applyNumberFormat="1" applyFont="1" applyFill="1" applyBorder="1" applyAlignment="1">
      <alignment horizontal="center"/>
    </xf>
    <xf numFmtId="173" fontId="2" fillId="3" borderId="98" xfId="0" applyNumberFormat="1" applyFont="1" applyFill="1" applyBorder="1" applyAlignment="1">
      <alignment horizontal="center"/>
    </xf>
    <xf numFmtId="8" fontId="2" fillId="0" borderId="0" xfId="0" applyNumberFormat="1" applyFont="1"/>
    <xf numFmtId="7" fontId="16" fillId="3" borderId="0" xfId="0" applyNumberFormat="1" applyFont="1" applyFill="1" applyBorder="1" applyAlignment="1"/>
    <xf numFmtId="7" fontId="32" fillId="3" borderId="0" xfId="0" applyNumberFormat="1" applyFont="1" applyFill="1" applyBorder="1" applyAlignment="1"/>
    <xf numFmtId="180" fontId="6" fillId="3" borderId="0" xfId="0" applyNumberFormat="1" applyFont="1" applyFill="1" applyBorder="1"/>
    <xf numFmtId="180" fontId="2" fillId="5" borderId="36" xfId="0" applyNumberFormat="1" applyFont="1" applyFill="1" applyBorder="1"/>
    <xf numFmtId="180" fontId="2" fillId="5" borderId="37" xfId="0" applyNumberFormat="1" applyFont="1" applyFill="1" applyBorder="1"/>
    <xf numFmtId="180" fontId="2" fillId="3" borderId="0" xfId="0" applyNumberFormat="1" applyFont="1" applyFill="1" applyBorder="1"/>
    <xf numFmtId="7" fontId="2" fillId="9" borderId="70" xfId="0" applyNumberFormat="1" applyFont="1" applyFill="1" applyBorder="1"/>
    <xf numFmtId="179" fontId="2" fillId="0" borderId="0" xfId="0" applyNumberFormat="1" applyFont="1"/>
    <xf numFmtId="165" fontId="33" fillId="11" borderId="0" xfId="0" applyNumberFormat="1" applyFont="1" applyFill="1" applyBorder="1"/>
    <xf numFmtId="7" fontId="6" fillId="11" borderId="0" xfId="0" applyNumberFormat="1" applyFont="1" applyFill="1" applyBorder="1"/>
    <xf numFmtId="7" fontId="6" fillId="11" borderId="0" xfId="0" applyNumberFormat="1" applyFont="1" applyFill="1"/>
    <xf numFmtId="7" fontId="2" fillId="0" borderId="0" xfId="0" applyNumberFormat="1" applyFont="1" applyFill="1" applyBorder="1"/>
    <xf numFmtId="44" fontId="2" fillId="0" borderId="0" xfId="85" applyFont="1" applyBorder="1"/>
    <xf numFmtId="0" fontId="6" fillId="5" borderId="29" xfId="0" applyFont="1" applyFill="1" applyBorder="1"/>
    <xf numFmtId="173" fontId="2" fillId="3" borderId="28" xfId="0" applyNumberFormat="1" applyFont="1" applyFill="1" applyBorder="1" applyAlignment="1">
      <alignment vertical="top"/>
    </xf>
    <xf numFmtId="173" fontId="6" fillId="5" borderId="31" xfId="85" applyNumberFormat="1" applyFont="1" applyFill="1" applyBorder="1"/>
    <xf numFmtId="181" fontId="10" fillId="3" borderId="28" xfId="0" applyNumberFormat="1" applyFont="1" applyFill="1" applyBorder="1"/>
    <xf numFmtId="173" fontId="2" fillId="3" borderId="28" xfId="85" applyNumberFormat="1" applyFont="1" applyFill="1" applyBorder="1"/>
    <xf numFmtId="0" fontId="38" fillId="2" borderId="81" xfId="0" applyFont="1" applyFill="1" applyBorder="1" applyAlignment="1">
      <alignment horizontal="center" wrapText="1"/>
    </xf>
    <xf numFmtId="0" fontId="38" fillId="2" borderId="82" xfId="0" applyFont="1" applyFill="1" applyBorder="1" applyAlignment="1">
      <alignment horizontal="center" wrapText="1"/>
    </xf>
    <xf numFmtId="0" fontId="38" fillId="2" borderId="79" xfId="0" applyFont="1" applyFill="1" applyBorder="1" applyAlignment="1">
      <alignment horizontal="center" wrapText="1"/>
    </xf>
    <xf numFmtId="0" fontId="38" fillId="2" borderId="80" xfId="0" applyFont="1" applyFill="1" applyBorder="1" applyAlignment="1">
      <alignment horizontal="center" wrapText="1"/>
    </xf>
    <xf numFmtId="0" fontId="39" fillId="0" borderId="90" xfId="0" applyFont="1" applyBorder="1"/>
    <xf numFmtId="0" fontId="39" fillId="0" borderId="91" xfId="0" applyFont="1" applyBorder="1"/>
    <xf numFmtId="175" fontId="39" fillId="0" borderId="91" xfId="85" applyNumberFormat="1" applyFont="1" applyBorder="1"/>
    <xf numFmtId="175" fontId="40" fillId="3" borderId="91" xfId="85" applyNumberFormat="1" applyFont="1" applyFill="1" applyBorder="1" applyAlignment="1">
      <alignment horizontal="right"/>
    </xf>
    <xf numFmtId="167" fontId="39" fillId="0" borderId="91" xfId="0" applyNumberFormat="1" applyFont="1" applyBorder="1"/>
    <xf numFmtId="171" fontId="40" fillId="3" borderId="91" xfId="0" applyNumberFormat="1" applyFont="1" applyFill="1" applyBorder="1"/>
    <xf numFmtId="171" fontId="40" fillId="3" borderId="99" xfId="0" applyNumberFormat="1" applyFont="1" applyFill="1" applyBorder="1"/>
    <xf numFmtId="167" fontId="40" fillId="3" borderId="91" xfId="1" applyNumberFormat="1" applyFont="1" applyFill="1" applyBorder="1"/>
    <xf numFmtId="176" fontId="40" fillId="3" borderId="91" xfId="1" applyNumberFormat="1" applyFont="1" applyFill="1" applyBorder="1"/>
    <xf numFmtId="176" fontId="40" fillId="3" borderId="92" xfId="1" applyNumberFormat="1" applyFont="1" applyFill="1" applyBorder="1"/>
    <xf numFmtId="0" fontId="39" fillId="0" borderId="93" xfId="0" applyFont="1" applyBorder="1"/>
    <xf numFmtId="0" fontId="39" fillId="0" borderId="94" xfId="0" applyFont="1" applyBorder="1"/>
    <xf numFmtId="3" fontId="39" fillId="0" borderId="94" xfId="0" applyNumberFormat="1" applyFont="1" applyBorder="1"/>
    <xf numFmtId="3" fontId="40" fillId="3" borderId="94" xfId="0" applyNumberFormat="1" applyFont="1" applyFill="1" applyBorder="1" applyAlignment="1">
      <alignment horizontal="right"/>
    </xf>
    <xf numFmtId="1" fontId="40" fillId="3" borderId="94" xfId="0" applyNumberFormat="1" applyFont="1" applyFill="1" applyBorder="1" applyAlignment="1">
      <alignment horizontal="right"/>
    </xf>
    <xf numFmtId="167" fontId="39" fillId="0" borderId="94" xfId="0" applyNumberFormat="1" applyFont="1" applyBorder="1"/>
    <xf numFmtId="171" fontId="40" fillId="3" borderId="94" xfId="0" applyNumberFormat="1" applyFont="1" applyFill="1" applyBorder="1"/>
    <xf numFmtId="167" fontId="40" fillId="3" borderId="94" xfId="1" applyNumberFormat="1" applyFont="1" applyFill="1" applyBorder="1"/>
    <xf numFmtId="176" fontId="40" fillId="3" borderId="100" xfId="0" applyNumberFormat="1" applyFont="1" applyFill="1" applyBorder="1"/>
    <xf numFmtId="176" fontId="40" fillId="3" borderId="95" xfId="0" applyNumberFormat="1" applyFont="1" applyFill="1" applyBorder="1"/>
    <xf numFmtId="176" fontId="40" fillId="3" borderId="94" xfId="0" applyNumberFormat="1" applyFont="1" applyFill="1" applyBorder="1"/>
    <xf numFmtId="0" fontId="39" fillId="0" borderId="96" xfId="0" applyFont="1" applyBorder="1"/>
    <xf numFmtId="0" fontId="39" fillId="0" borderId="97" xfId="0" applyFont="1" applyBorder="1"/>
    <xf numFmtId="3" fontId="39" fillId="0" borderId="97" xfId="0" applyNumberFormat="1" applyFont="1" applyBorder="1"/>
    <xf numFmtId="3" fontId="40" fillId="3" borderId="97" xfId="0" applyNumberFormat="1" applyFont="1" applyFill="1" applyBorder="1" applyAlignment="1">
      <alignment horizontal="right"/>
    </xf>
    <xf numFmtId="1" fontId="40" fillId="3" borderId="97" xfId="0" applyNumberFormat="1" applyFont="1" applyFill="1" applyBorder="1" applyAlignment="1">
      <alignment horizontal="right"/>
    </xf>
    <xf numFmtId="167" fontId="39" fillId="0" borderId="97" xfId="0" applyNumberFormat="1" applyFont="1" applyBorder="1"/>
    <xf numFmtId="171" fontId="40" fillId="3" borderId="97" xfId="0" applyNumberFormat="1" applyFont="1" applyFill="1" applyBorder="1"/>
    <xf numFmtId="167" fontId="40" fillId="3" borderId="97" xfId="1" applyNumberFormat="1" applyFont="1" applyFill="1" applyBorder="1"/>
    <xf numFmtId="176" fontId="40" fillId="3" borderId="97" xfId="1" applyNumberFormat="1" applyFont="1" applyFill="1" applyBorder="1"/>
    <xf numFmtId="176" fontId="40" fillId="3" borderId="98" xfId="1" applyNumberFormat="1" applyFont="1" applyFill="1" applyBorder="1"/>
    <xf numFmtId="0" fontId="40" fillId="3" borderId="0" xfId="0" applyFont="1" applyFill="1" applyBorder="1"/>
    <xf numFmtId="0" fontId="40" fillId="3" borderId="0" xfId="0" applyFont="1" applyFill="1" applyBorder="1" applyAlignment="1">
      <alignment horizontal="center"/>
    </xf>
    <xf numFmtId="167" fontId="40" fillId="3" borderId="0" xfId="0" applyNumberFormat="1" applyFont="1" applyFill="1" applyBorder="1"/>
    <xf numFmtId="167" fontId="40" fillId="3" borderId="0" xfId="1" applyNumberFormat="1" applyFont="1" applyFill="1" applyBorder="1"/>
    <xf numFmtId="0" fontId="40" fillId="3" borderId="0" xfId="0" applyFont="1" applyFill="1"/>
    <xf numFmtId="164" fontId="40" fillId="3" borderId="0" xfId="0" applyNumberFormat="1" applyFont="1" applyFill="1" applyBorder="1" applyAlignment="1">
      <alignment horizontal="center"/>
    </xf>
    <xf numFmtId="167" fontId="40" fillId="3" borderId="0" xfId="0" applyNumberFormat="1" applyFont="1" applyFill="1" applyBorder="1" applyAlignment="1">
      <alignment horizontal="center"/>
    </xf>
    <xf numFmtId="0" fontId="40" fillId="3" borderId="0" xfId="0" applyFont="1" applyFill="1" applyBorder="1" applyAlignment="1"/>
    <xf numFmtId="0" fontId="41" fillId="5" borderId="78" xfId="0" applyFont="1" applyFill="1" applyBorder="1"/>
    <xf numFmtId="0" fontId="41" fillId="5" borderId="79" xfId="0" applyFont="1" applyFill="1" applyBorder="1" applyAlignment="1">
      <alignment horizontal="left"/>
    </xf>
    <xf numFmtId="175" fontId="42" fillId="5" borderId="79" xfId="0" applyNumberFormat="1" applyFont="1" applyFill="1" applyBorder="1" applyAlignment="1">
      <alignment horizontal="right"/>
    </xf>
    <xf numFmtId="167" fontId="42" fillId="5" borderId="79" xfId="0" applyNumberFormat="1" applyFont="1" applyFill="1" applyBorder="1" applyAlignment="1">
      <alignment horizontal="right"/>
    </xf>
    <xf numFmtId="171" fontId="42" fillId="5" borderId="79" xfId="0" applyNumberFormat="1" applyFont="1" applyFill="1" applyBorder="1" applyAlignment="1">
      <alignment horizontal="right"/>
    </xf>
    <xf numFmtId="167" fontId="41" fillId="5" borderId="79" xfId="1" applyNumberFormat="1" applyFont="1" applyFill="1" applyBorder="1" applyAlignment="1">
      <alignment horizontal="right"/>
    </xf>
    <xf numFmtId="167" fontId="41" fillId="5" borderId="80" xfId="1" applyNumberFormat="1" applyFont="1" applyFill="1" applyBorder="1" applyAlignment="1">
      <alignment horizontal="right"/>
    </xf>
    <xf numFmtId="173" fontId="40" fillId="3" borderId="0" xfId="0" applyNumberFormat="1" applyFont="1" applyFill="1"/>
    <xf numFmtId="0" fontId="40" fillId="3" borderId="24" xfId="0" applyFont="1" applyFill="1" applyBorder="1"/>
    <xf numFmtId="167" fontId="40" fillId="3" borderId="25" xfId="1" applyNumberFormat="1" applyFont="1" applyFill="1" applyBorder="1" applyAlignment="1">
      <alignment horizontal="right"/>
    </xf>
    <xf numFmtId="166" fontId="40" fillId="3" borderId="25" xfId="0" applyNumberFormat="1" applyFont="1" applyFill="1" applyBorder="1" applyAlignment="1">
      <alignment horizontal="right"/>
    </xf>
    <xf numFmtId="167" fontId="40" fillId="3" borderId="26" xfId="1" applyNumberFormat="1" applyFont="1" applyFill="1" applyBorder="1" applyAlignment="1">
      <alignment horizontal="right"/>
    </xf>
    <xf numFmtId="0" fontId="40" fillId="3" borderId="27" xfId="0" applyFont="1" applyFill="1" applyBorder="1"/>
    <xf numFmtId="167" fontId="40" fillId="3" borderId="0" xfId="1" applyNumberFormat="1" applyFont="1" applyFill="1" applyBorder="1" applyAlignment="1">
      <alignment horizontal="right"/>
    </xf>
    <xf numFmtId="166" fontId="40" fillId="3" borderId="0" xfId="0" applyNumberFormat="1" applyFont="1" applyFill="1" applyBorder="1" applyAlignment="1">
      <alignment horizontal="right"/>
    </xf>
    <xf numFmtId="167" fontId="40" fillId="3" borderId="28" xfId="1" applyNumberFormat="1" applyFont="1" applyFill="1" applyBorder="1" applyAlignment="1">
      <alignment horizontal="right"/>
    </xf>
    <xf numFmtId="167" fontId="38" fillId="2" borderId="27" xfId="1" applyNumberFormat="1" applyFont="1" applyFill="1" applyBorder="1" applyAlignment="1">
      <alignment horizontal="left"/>
    </xf>
    <xf numFmtId="167" fontId="38" fillId="2" borderId="0" xfId="1" applyNumberFormat="1" applyFont="1" applyFill="1" applyBorder="1" applyAlignment="1">
      <alignment horizontal="right"/>
    </xf>
    <xf numFmtId="166" fontId="38" fillId="2" borderId="0" xfId="0" applyNumberFormat="1" applyFont="1" applyFill="1" applyBorder="1" applyAlignment="1">
      <alignment horizontal="right"/>
    </xf>
    <xf numFmtId="167" fontId="38" fillId="2" borderId="28" xfId="1" applyNumberFormat="1" applyFont="1" applyFill="1" applyBorder="1" applyAlignment="1">
      <alignment horizontal="right"/>
    </xf>
    <xf numFmtId="176" fontId="40" fillId="3" borderId="0" xfId="1" applyNumberFormat="1" applyFont="1" applyFill="1" applyBorder="1"/>
    <xf numFmtId="0" fontId="40" fillId="3" borderId="29" xfId="0" applyFont="1" applyFill="1" applyBorder="1"/>
    <xf numFmtId="167" fontId="40" fillId="3" borderId="30" xfId="1" applyNumberFormat="1" applyFont="1" applyFill="1" applyBorder="1" applyAlignment="1">
      <alignment horizontal="right"/>
    </xf>
    <xf numFmtId="166" fontId="40" fillId="3" borderId="30" xfId="0" applyNumberFormat="1" applyFont="1" applyFill="1" applyBorder="1" applyAlignment="1">
      <alignment horizontal="right"/>
    </xf>
    <xf numFmtId="176" fontId="40" fillId="3" borderId="30" xfId="1" applyNumberFormat="1" applyFont="1" applyFill="1" applyBorder="1"/>
    <xf numFmtId="176" fontId="40" fillId="3" borderId="31" xfId="1" applyNumberFormat="1" applyFont="1" applyFill="1" applyBorder="1"/>
    <xf numFmtId="182" fontId="2" fillId="0" borderId="0" xfId="0" applyNumberFormat="1" applyFont="1"/>
    <xf numFmtId="177" fontId="6" fillId="0" borderId="0" xfId="0" applyNumberFormat="1" applyFont="1"/>
    <xf numFmtId="0" fontId="2" fillId="0" borderId="75" xfId="0" applyFont="1" applyBorder="1" applyAlignment="1">
      <alignment horizontal="center"/>
    </xf>
    <xf numFmtId="0" fontId="2" fillId="0" borderId="76" xfId="0" applyFont="1" applyBorder="1" applyAlignment="1">
      <alignment horizontal="center"/>
    </xf>
    <xf numFmtId="0" fontId="2" fillId="0" borderId="77" xfId="0" applyFont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4" borderId="6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4" fillId="0" borderId="0" xfId="0" applyFont="1" applyAlignment="1">
      <alignment horizontal="center" wrapText="1"/>
    </xf>
    <xf numFmtId="0" fontId="13" fillId="2" borderId="35" xfId="0" applyFont="1" applyFill="1" applyBorder="1" applyAlignment="1">
      <alignment horizontal="center" wrapText="1"/>
    </xf>
    <xf numFmtId="0" fontId="13" fillId="2" borderId="37" xfId="0" applyFont="1" applyFill="1" applyBorder="1" applyAlignment="1">
      <alignment horizontal="center" wrapText="1"/>
    </xf>
    <xf numFmtId="0" fontId="2" fillId="2" borderId="34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5" fontId="3" fillId="2" borderId="62" xfId="0" applyNumberFormat="1" applyFont="1" applyFill="1" applyBorder="1" applyAlignment="1">
      <alignment horizontal="center" vertical="center" textRotation="90" wrapText="1"/>
    </xf>
    <xf numFmtId="5" fontId="3" fillId="2" borderId="63" xfId="0" applyNumberFormat="1" applyFont="1" applyFill="1" applyBorder="1" applyAlignment="1">
      <alignment horizontal="center" vertical="center" textRotation="90" wrapText="1"/>
    </xf>
    <xf numFmtId="5" fontId="3" fillId="2" borderId="64" xfId="0" applyNumberFormat="1" applyFont="1" applyFill="1" applyBorder="1" applyAlignment="1">
      <alignment horizontal="center" vertical="center" textRotation="90" wrapText="1"/>
    </xf>
    <xf numFmtId="5" fontId="3" fillId="2" borderId="45" xfId="0" applyNumberFormat="1" applyFont="1" applyFill="1" applyBorder="1" applyAlignment="1">
      <alignment horizontal="center" vertical="center" textRotation="90" wrapText="1"/>
    </xf>
    <xf numFmtId="5" fontId="3" fillId="2" borderId="56" xfId="0" applyNumberFormat="1" applyFont="1" applyFill="1" applyBorder="1" applyAlignment="1">
      <alignment horizontal="center" vertical="center" textRotation="90" wrapText="1"/>
    </xf>
    <xf numFmtId="165" fontId="6" fillId="0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 wrapText="1"/>
    </xf>
    <xf numFmtId="0" fontId="31" fillId="0" borderId="0" xfId="0" applyFont="1" applyFill="1" applyBorder="1" applyAlignment="1">
      <alignment horizontal="center"/>
    </xf>
    <xf numFmtId="0" fontId="36" fillId="3" borderId="0" xfId="0" applyFont="1" applyFill="1" applyBorder="1" applyAlignment="1">
      <alignment horizontal="center" wrapText="1"/>
    </xf>
    <xf numFmtId="0" fontId="3" fillId="10" borderId="24" xfId="0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/>
    </xf>
    <xf numFmtId="0" fontId="3" fillId="10" borderId="26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7" fillId="0" borderId="0" xfId="0" applyFont="1" applyAlignment="1">
      <alignment horizontal="center" vertical="top" wrapText="1"/>
    </xf>
  </cellXfs>
  <cellStyles count="132">
    <cellStyle name="Currency" xfId="85" builtinId="4"/>
    <cellStyle name="fa_data_bold_1_grouped" xfId="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0923E"/>
      <color rgb="FF0000FF"/>
      <color rgb="FFF2F3E5"/>
      <color rgb="FF236B2D"/>
      <color rgb="FFF9F62E"/>
      <color rgb="FFCA7A20"/>
      <color rgb="FF009B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'Football Field - Base EPS'!$B$7:$B$17</c:f>
              <c:strCache>
                <c:ptCount val="11"/>
                <c:pt idx="0">
                  <c:v>Comps: P/E</c:v>
                </c:pt>
                <c:pt idx="1">
                  <c:v>Comps: EV/EBITDA</c:v>
                </c:pt>
                <c:pt idx="2">
                  <c:v>Comprables Companies</c:v>
                </c:pt>
                <c:pt idx="3">
                  <c:v>DCF (as-is)</c:v>
                </c:pt>
                <c:pt idx="4">
                  <c:v>DCF (optimal cap structure)</c:v>
                </c:pt>
                <c:pt idx="5">
                  <c:v>Discounted Cash Flow</c:v>
                </c:pt>
                <c:pt idx="6">
                  <c:v>Earnings Bear</c:v>
                </c:pt>
                <c:pt idx="7">
                  <c:v>Earnings Bull</c:v>
                </c:pt>
                <c:pt idx="8">
                  <c:v>Earnings Current Multiple</c:v>
                </c:pt>
                <c:pt idx="9">
                  <c:v>Earnings Base</c:v>
                </c:pt>
                <c:pt idx="10">
                  <c:v>Earnings Multiples</c:v>
                </c:pt>
              </c:strCache>
            </c:strRef>
          </c:cat>
          <c:val>
            <c:numRef>
              <c:f>'Football Field - Base EPS'!$F$7:$F$17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3">
                  <c:v>42.66652419420187</c:v>
                </c:pt>
                <c:pt idx="4">
                  <c:v>42.1396341028758</c:v>
                </c:pt>
                <c:pt idx="8">
                  <c:v>88.42559404415073</c:v>
                </c:pt>
                <c:pt idx="9">
                  <c:v>74.4248749871602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653-4C21-A36B-5CEE09ED6D59}"/>
            </c:ext>
          </c:extLst>
        </c:ser>
        <c:ser>
          <c:idx val="1"/>
          <c:order val="1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'Football Field - Base EPS'!$B$7:$B$17</c:f>
              <c:strCache>
                <c:ptCount val="11"/>
                <c:pt idx="0">
                  <c:v>Comps: P/E</c:v>
                </c:pt>
                <c:pt idx="1">
                  <c:v>Comps: EV/EBITDA</c:v>
                </c:pt>
                <c:pt idx="2">
                  <c:v>Comprables Companies</c:v>
                </c:pt>
                <c:pt idx="3">
                  <c:v>DCF (as-is)</c:v>
                </c:pt>
                <c:pt idx="4">
                  <c:v>DCF (optimal cap structure)</c:v>
                </c:pt>
                <c:pt idx="5">
                  <c:v>Discounted Cash Flow</c:v>
                </c:pt>
                <c:pt idx="6">
                  <c:v>Earnings Bear</c:v>
                </c:pt>
                <c:pt idx="7">
                  <c:v>Earnings Bull</c:v>
                </c:pt>
                <c:pt idx="8">
                  <c:v>Earnings Current Multiple</c:v>
                </c:pt>
                <c:pt idx="9">
                  <c:v>Earnings Base</c:v>
                </c:pt>
                <c:pt idx="10">
                  <c:v>Earnings Multiples</c:v>
                </c:pt>
              </c:strCache>
            </c:strRef>
          </c:cat>
          <c:val>
            <c:numRef>
              <c:f>'Football Field - Base EPS'!$G$7:$G$17</c:f>
              <c:numCache>
                <c:formatCode>General</c:formatCode>
                <c:ptCount val="1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653-4C21-A36B-5CEE09ED6D59}"/>
            </c:ext>
          </c:extLst>
        </c:ser>
        <c:ser>
          <c:idx val="2"/>
          <c:order val="2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'Football Field - Base EPS'!$B$7:$B$17</c:f>
              <c:strCache>
                <c:ptCount val="11"/>
                <c:pt idx="0">
                  <c:v>Comps: P/E</c:v>
                </c:pt>
                <c:pt idx="1">
                  <c:v>Comps: EV/EBITDA</c:v>
                </c:pt>
                <c:pt idx="2">
                  <c:v>Comprables Companies</c:v>
                </c:pt>
                <c:pt idx="3">
                  <c:v>DCF (as-is)</c:v>
                </c:pt>
                <c:pt idx="4">
                  <c:v>DCF (optimal cap structure)</c:v>
                </c:pt>
                <c:pt idx="5">
                  <c:v>Discounted Cash Flow</c:v>
                </c:pt>
                <c:pt idx="6">
                  <c:v>Earnings Bear</c:v>
                </c:pt>
                <c:pt idx="7">
                  <c:v>Earnings Bull</c:v>
                </c:pt>
                <c:pt idx="8">
                  <c:v>Earnings Current Multiple</c:v>
                </c:pt>
                <c:pt idx="9">
                  <c:v>Earnings Base</c:v>
                </c:pt>
                <c:pt idx="10">
                  <c:v>Earnings Multiples</c:v>
                </c:pt>
              </c:strCache>
            </c:strRef>
          </c:cat>
          <c:val>
            <c:numRef>
              <c:f>'Football Field - Base EPS'!$H$7:$H$16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3">
                  <c:v>14.02001212220938</c:v>
                </c:pt>
                <c:pt idx="4">
                  <c:v>8.411023991250893</c:v>
                </c:pt>
                <c:pt idx="8">
                  <c:v>14.73759900735845</c:v>
                </c:pt>
                <c:pt idx="9">
                  <c:v>19.89575865993392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653-4C21-A36B-5CEE09ED6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33264256"/>
        <c:axId val="1833267008"/>
      </c:barChart>
      <c:catAx>
        <c:axId val="1833264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Perpetua" charset="0"/>
                <a:ea typeface="Perpetua" charset="0"/>
                <a:cs typeface="Perpetua" charset="0"/>
              </a:defRPr>
            </a:pPr>
            <a:endParaRPr lang="en-US"/>
          </a:p>
        </c:txPr>
        <c:crossAx val="1833267008"/>
        <c:crosses val="autoZero"/>
        <c:auto val="1"/>
        <c:lblAlgn val="ctr"/>
        <c:lblOffset val="100"/>
        <c:noMultiLvlLbl val="0"/>
      </c:catAx>
      <c:valAx>
        <c:axId val="1833267008"/>
        <c:scaling>
          <c:orientation val="minMax"/>
          <c:max val="150.0"/>
          <c:min val="50.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erpetua" charset="0"/>
                <a:ea typeface="Perpetua" charset="0"/>
                <a:cs typeface="Perpetua" charset="0"/>
              </a:defRPr>
            </a:pPr>
            <a:endParaRPr lang="en-US"/>
          </a:p>
        </c:txPr>
        <c:crossAx val="1833264256"/>
        <c:crosses val="autoZero"/>
        <c:crossBetween val="between"/>
        <c:majorUnit val="2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Perpetua" charset="0"/>
          <a:ea typeface="Perpetua" charset="0"/>
          <a:cs typeface="Perpetua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1962150</xdr:colOff>
      <xdr:row>18</xdr:row>
      <xdr:rowOff>158750</xdr:rowOff>
    </xdr:from>
    <xdr:to>
      <xdr:col>7</xdr:col>
      <xdr:colOff>635000</xdr:colOff>
      <xdr:row>34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485774</xdr:colOff>
      <xdr:row>19</xdr:row>
      <xdr:rowOff>142875</xdr:rowOff>
    </xdr:from>
    <xdr:to>
      <xdr:col>6</xdr:col>
      <xdr:colOff>38100</xdr:colOff>
      <xdr:row>32</xdr:row>
      <xdr:rowOff>133350</xdr:rowOff>
    </xdr:to>
    <xdr:sp macro="" textlink="">
      <xdr:nvSpPr>
        <xdr:cNvPr id="3" name="Rectangle 2"/>
        <xdr:cNvSpPr/>
      </xdr:nvSpPr>
      <xdr:spPr>
        <a:xfrm>
          <a:off x="5372099" y="4010025"/>
          <a:ext cx="133351" cy="2219325"/>
        </a:xfrm>
        <a:prstGeom prst="rect">
          <a:avLst/>
        </a:prstGeom>
        <a:solidFill>
          <a:schemeClr val="accent4">
            <a:lumMod val="40000"/>
            <a:lumOff val="60000"/>
            <a:alpha val="49000"/>
          </a:schemeClr>
        </a:solidFill>
        <a:ln w="25400">
          <a:solidFill>
            <a:schemeClr val="accent5">
              <a:lumMod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vmlDrawing" Target="../drawings/vmlDrawing7.vml"/><Relationship Id="rId3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Relationship Id="rId2" Type="http://schemas.openxmlformats.org/officeDocument/2006/relationships/vmlDrawing" Target="../drawings/vmlDrawing8.vml"/><Relationship Id="rId3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vmlDrawing" Target="../drawings/vmlDrawing9.vml"/><Relationship Id="rId3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Relationship Id="rId2" Type="http://schemas.openxmlformats.org/officeDocument/2006/relationships/vmlDrawing" Target="../drawings/vmlDrawing10.vml"/><Relationship Id="rId3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4" Type="http://schemas.openxmlformats.org/officeDocument/2006/relationships/comments" Target="../comments11.xml"/><Relationship Id="rId1" Type="http://schemas.openxmlformats.org/officeDocument/2006/relationships/printerSettings" Target="../printerSettings/printerSettings1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B3:M24"/>
  <sheetViews>
    <sheetView showGridLines="0" zoomScale="120" zoomScaleNormal="120" zoomScalePageLayoutView="120" workbookViewId="0">
      <selection activeCell="M24" sqref="M24"/>
    </sheetView>
  </sheetViews>
  <sheetFormatPr baseColWidth="10" defaultColWidth="8.83203125" defaultRowHeight="14" x14ac:dyDescent="0.2"/>
  <cols>
    <col min="1" max="1" width="0.5" style="1" customWidth="1"/>
    <col min="2" max="2" width="8.83203125" style="1"/>
    <col min="3" max="3" width="44.33203125" style="1" bestFit="1" customWidth="1"/>
    <col min="4" max="16384" width="8.83203125" style="1"/>
  </cols>
  <sheetData>
    <row r="3" spans="2:9" ht="15" thickBot="1" x14ac:dyDescent="0.25"/>
    <row r="4" spans="2:9" x14ac:dyDescent="0.2">
      <c r="B4" s="5" t="s">
        <v>0</v>
      </c>
      <c r="C4" s="2" t="s">
        <v>163</v>
      </c>
    </row>
    <row r="5" spans="2:9" x14ac:dyDescent="0.2">
      <c r="B5" s="6" t="s">
        <v>1</v>
      </c>
      <c r="C5" s="3" t="s">
        <v>164</v>
      </c>
    </row>
    <row r="6" spans="2:9" ht="15" thickBot="1" x14ac:dyDescent="0.25">
      <c r="B6" s="7" t="s">
        <v>2</v>
      </c>
      <c r="C6" s="4">
        <v>42834</v>
      </c>
    </row>
    <row r="9" spans="2:9" x14ac:dyDescent="0.2">
      <c r="B9" s="239" t="s">
        <v>130</v>
      </c>
    </row>
    <row r="10" spans="2:9" x14ac:dyDescent="0.2">
      <c r="E10" s="244"/>
    </row>
    <row r="11" spans="2:9" x14ac:dyDescent="0.2">
      <c r="C11" s="1" t="s">
        <v>322</v>
      </c>
      <c r="D11" s="386">
        <v>71.89</v>
      </c>
    </row>
    <row r="12" spans="2:9" x14ac:dyDescent="0.2">
      <c r="C12" s="1" t="s">
        <v>330</v>
      </c>
      <c r="D12" s="1">
        <v>1.0595000000000001</v>
      </c>
    </row>
    <row r="14" spans="2:9" x14ac:dyDescent="0.2">
      <c r="I14" s="1">
        <v>1.41676</v>
      </c>
    </row>
    <row r="15" spans="2:9" x14ac:dyDescent="0.2">
      <c r="I15" s="1">
        <v>1.42405</v>
      </c>
    </row>
    <row r="16" spans="2:9" x14ac:dyDescent="0.2">
      <c r="I16" s="1">
        <v>1.4133800000000001</v>
      </c>
    </row>
    <row r="17" spans="5:13" x14ac:dyDescent="0.2">
      <c r="I17" s="1">
        <v>1.3229200000000001</v>
      </c>
    </row>
    <row r="18" spans="5:13" x14ac:dyDescent="0.2">
      <c r="I18" s="1">
        <v>1.3784099999999999</v>
      </c>
    </row>
    <row r="19" spans="5:13" x14ac:dyDescent="0.2">
      <c r="L19" s="1">
        <v>1.2881800000000001</v>
      </c>
    </row>
    <row r="20" spans="5:13" x14ac:dyDescent="0.2">
      <c r="L20" s="1">
        <v>1.34019</v>
      </c>
    </row>
    <row r="21" spans="5:13" x14ac:dyDescent="0.2">
      <c r="L21" s="1">
        <v>1.2693300000000001</v>
      </c>
    </row>
    <row r="22" spans="5:13" x14ac:dyDescent="0.2">
      <c r="L22" s="1">
        <v>1.1040099999999999</v>
      </c>
    </row>
    <row r="23" spans="5:13" x14ac:dyDescent="0.2">
      <c r="L23" s="1">
        <v>1.09758</v>
      </c>
    </row>
    <row r="24" spans="5:13" x14ac:dyDescent="0.2">
      <c r="E24" s="22">
        <f>L24/D12-1</f>
        <v>0.15135252477583738</v>
      </c>
      <c r="L24" s="1">
        <f>AVERAGE(L19:L23)</f>
        <v>1.2198579999999999</v>
      </c>
      <c r="M24" s="1">
        <f>AVERAGE(L22:L24)</f>
        <v>1.1404826666666665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/>
  <dimension ref="A1:AB73"/>
  <sheetViews>
    <sheetView showGridLines="0" tabSelected="1" topLeftCell="A7" zoomScale="68" zoomScaleNormal="124" zoomScalePageLayoutView="124" workbookViewId="0">
      <selection activeCell="T1" activeCellId="5" sqref="Y40 A53:XFD53 M1:M1048576 H1:H1048576 R1:R1048576 T1:T1048576"/>
    </sheetView>
  </sheetViews>
  <sheetFormatPr baseColWidth="10" defaultColWidth="8.5" defaultRowHeight="14" customHeight="1" x14ac:dyDescent="0.2"/>
  <cols>
    <col min="1" max="1" width="1.5" style="1" customWidth="1"/>
    <col min="2" max="2" width="48.83203125" style="1" bestFit="1" customWidth="1"/>
    <col min="3" max="3" width="13.5" style="1" bestFit="1" customWidth="1"/>
    <col min="4" max="12" width="10.5" style="1" customWidth="1"/>
    <col min="13" max="13" width="11.1640625" style="1" bestFit="1" customWidth="1"/>
    <col min="14" max="14" width="10.5" style="1" customWidth="1"/>
    <col min="15" max="16" width="10.83203125" style="1" bestFit="1" customWidth="1"/>
    <col min="17" max="22" width="10.5" style="1" customWidth="1"/>
    <col min="23" max="23" width="9.5" style="1" bestFit="1" customWidth="1"/>
    <col min="24" max="24" width="9.83203125" style="1" bestFit="1" customWidth="1"/>
    <col min="25" max="16384" width="8.5" style="1"/>
  </cols>
  <sheetData>
    <row r="1" spans="1:24" ht="21" x14ac:dyDescent="0.3">
      <c r="B1" s="8" t="s">
        <v>188</v>
      </c>
      <c r="C1" s="476" t="s">
        <v>126</v>
      </c>
      <c r="D1" s="477"/>
      <c r="E1" s="478"/>
    </row>
    <row r="2" spans="1:24" ht="14" customHeight="1" x14ac:dyDescent="0.2">
      <c r="B2" s="1" t="s">
        <v>163</v>
      </c>
      <c r="C2" s="136" t="s">
        <v>123</v>
      </c>
      <c r="D2" s="137" t="s">
        <v>124</v>
      </c>
      <c r="E2" s="138" t="s">
        <v>125</v>
      </c>
    </row>
    <row r="4" spans="1:24" ht="14" customHeight="1" x14ac:dyDescent="0.2">
      <c r="B4" s="9" t="s">
        <v>3</v>
      </c>
    </row>
    <row r="5" spans="1:24" ht="14" customHeight="1" x14ac:dyDescent="0.2">
      <c r="B5" s="10" t="s">
        <v>172</v>
      </c>
    </row>
    <row r="6" spans="1:24" ht="14" customHeight="1" x14ac:dyDescent="0.2">
      <c r="C6" s="479" t="s">
        <v>7</v>
      </c>
      <c r="D6" s="479"/>
      <c r="E6" s="479"/>
      <c r="F6" s="479"/>
      <c r="G6" s="479"/>
      <c r="H6" s="479"/>
      <c r="I6" s="479"/>
      <c r="J6" s="479"/>
      <c r="K6" s="479"/>
      <c r="L6" s="479"/>
      <c r="M6" s="479"/>
      <c r="N6" s="480" t="s">
        <v>116</v>
      </c>
      <c r="O6" s="480"/>
      <c r="P6" s="480"/>
      <c r="Q6" s="480"/>
      <c r="R6" s="480"/>
      <c r="S6" s="481" t="s">
        <v>8</v>
      </c>
      <c r="T6" s="481"/>
      <c r="U6" s="481"/>
      <c r="V6" s="481"/>
      <c r="W6" s="481"/>
      <c r="X6" s="481"/>
    </row>
    <row r="7" spans="1:24" ht="14" customHeight="1" x14ac:dyDescent="0.2">
      <c r="B7" s="1" t="s">
        <v>175</v>
      </c>
      <c r="C7" s="70">
        <v>2014</v>
      </c>
      <c r="D7" s="71" t="s">
        <v>109</v>
      </c>
      <c r="E7" s="71" t="s">
        <v>110</v>
      </c>
      <c r="F7" s="71" t="s">
        <v>111</v>
      </c>
      <c r="G7" s="71" t="s">
        <v>112</v>
      </c>
      <c r="H7" s="71">
        <v>2015</v>
      </c>
      <c r="I7" s="71" t="s">
        <v>113</v>
      </c>
      <c r="J7" s="71" t="s">
        <v>114</v>
      </c>
      <c r="K7" s="71" t="s">
        <v>115</v>
      </c>
      <c r="L7" s="71" t="s">
        <v>117</v>
      </c>
      <c r="M7" s="71">
        <v>2016</v>
      </c>
      <c r="N7" s="288" t="s">
        <v>127</v>
      </c>
      <c r="O7" s="288" t="s">
        <v>128</v>
      </c>
      <c r="P7" s="288" t="s">
        <v>129</v>
      </c>
      <c r="Q7" s="288" t="s">
        <v>121</v>
      </c>
      <c r="R7" s="288">
        <v>2017</v>
      </c>
      <c r="S7" s="289">
        <v>2018</v>
      </c>
      <c r="T7" s="289">
        <v>2019</v>
      </c>
      <c r="U7" s="289">
        <v>2020</v>
      </c>
      <c r="V7" s="290">
        <v>2021</v>
      </c>
      <c r="W7" s="290">
        <v>2022</v>
      </c>
      <c r="X7" s="290">
        <v>2023</v>
      </c>
    </row>
    <row r="8" spans="1:24" s="9" customFormat="1" ht="14" customHeight="1" x14ac:dyDescent="0.2">
      <c r="A8" s="9" t="s">
        <v>12</v>
      </c>
      <c r="B8" s="9" t="s">
        <v>251</v>
      </c>
      <c r="D8" s="118"/>
      <c r="E8" s="118"/>
      <c r="F8" s="118"/>
      <c r="G8" s="118"/>
      <c r="H8" s="280"/>
      <c r="I8" s="118"/>
      <c r="J8" s="118"/>
      <c r="K8" s="118"/>
      <c r="L8" s="119"/>
      <c r="M8" s="280"/>
      <c r="N8" s="118"/>
      <c r="O8" s="118"/>
      <c r="P8" s="130"/>
      <c r="Q8" s="130"/>
      <c r="R8" s="115"/>
    </row>
    <row r="9" spans="1:24" s="9" customFormat="1" ht="14" customHeight="1" x14ac:dyDescent="0.2">
      <c r="B9" s="11" t="s">
        <v>247</v>
      </c>
      <c r="C9" s="89">
        <v>1943729</v>
      </c>
      <c r="D9" s="307">
        <v>429124</v>
      </c>
      <c r="E9" s="307">
        <v>578179</v>
      </c>
      <c r="F9" s="307">
        <v>537696</v>
      </c>
      <c r="G9" s="307">
        <f t="shared" ref="G9:G14" si="0">H9-SUM(D9:F9)</f>
        <v>535229</v>
      </c>
      <c r="H9" s="89">
        <v>2080228</v>
      </c>
      <c r="I9" s="307">
        <v>480969</v>
      </c>
      <c r="J9" s="307">
        <v>588669</v>
      </c>
      <c r="K9" s="307">
        <v>537063</v>
      </c>
      <c r="L9" s="307">
        <f t="shared" ref="L9:L14" si="1">M9-SUM(I9:K9)</f>
        <v>573344</v>
      </c>
      <c r="M9" s="89">
        <v>2180045</v>
      </c>
      <c r="N9" s="393">
        <f>I9*(1+N35)</f>
        <v>512231.98499999999</v>
      </c>
      <c r="O9" s="307">
        <f>J9*(1+O35)</f>
        <v>626932.48499999999</v>
      </c>
      <c r="P9" s="307">
        <f>K9*(1+P35)</f>
        <v>571972.09499999997</v>
      </c>
      <c r="Q9" s="393">
        <f>L9*(1+Q35)</f>
        <v>610611.36</v>
      </c>
      <c r="R9" s="89">
        <f t="shared" ref="R9:X9" si="2">R59*R61</f>
        <v>2323611.8909056983</v>
      </c>
      <c r="S9" s="89">
        <f t="shared" si="2"/>
        <v>2456839.1752415351</v>
      </c>
      <c r="T9" s="89">
        <f t="shared" si="2"/>
        <v>2548459.6211922383</v>
      </c>
      <c r="U9" s="89">
        <f t="shared" si="2"/>
        <v>2630726.260962076</v>
      </c>
      <c r="V9" s="89">
        <f t="shared" si="2"/>
        <v>2702465.7842268413</v>
      </c>
      <c r="W9" s="89">
        <f t="shared" si="2"/>
        <v>2762619.3820048785</v>
      </c>
      <c r="X9" s="89">
        <f t="shared" si="2"/>
        <v>2810268.2397152488</v>
      </c>
    </row>
    <row r="10" spans="1:24" s="9" customFormat="1" ht="14.25" customHeight="1" x14ac:dyDescent="0.2">
      <c r="B10" s="11" t="s">
        <v>248</v>
      </c>
      <c r="C10" s="129">
        <v>311155</v>
      </c>
      <c r="D10" s="130">
        <v>63847</v>
      </c>
      <c r="E10" s="130">
        <v>57295</v>
      </c>
      <c r="F10" s="130">
        <v>50769</v>
      </c>
      <c r="G10" s="130">
        <f t="shared" si="0"/>
        <v>46746</v>
      </c>
      <c r="H10" s="129">
        <v>218657</v>
      </c>
      <c r="I10" s="130">
        <v>57268</v>
      </c>
      <c r="J10" s="130">
        <v>70862</v>
      </c>
      <c r="K10" s="130">
        <v>97251</v>
      </c>
      <c r="L10" s="130">
        <f t="shared" si="1"/>
        <v>112543</v>
      </c>
      <c r="M10" s="131">
        <v>337924</v>
      </c>
      <c r="N10" s="130">
        <f>I10*(1+N36)</f>
        <v>88479.06</v>
      </c>
      <c r="O10" s="130">
        <f t="shared" ref="O10:Q12" si="3">J10*(1+O36)</f>
        <v>109481.79</v>
      </c>
      <c r="P10" s="130">
        <f t="shared" si="3"/>
        <v>150252.79499999998</v>
      </c>
      <c r="Q10" s="130">
        <f t="shared" si="3"/>
        <v>173878.935</v>
      </c>
      <c r="R10" s="129">
        <f t="shared" ref="R10:R19" si="4">SUM(N10:Q10)</f>
        <v>522092.57999999996</v>
      </c>
      <c r="S10" s="129">
        <f t="shared" ref="S10:X12" si="5">R10*(1+S36)</f>
        <v>806633.03609999991</v>
      </c>
      <c r="T10" s="129">
        <f t="shared" si="5"/>
        <v>1246248.0407744998</v>
      </c>
      <c r="U10" s="129">
        <f t="shared" si="5"/>
        <v>1925453.2229966021</v>
      </c>
      <c r="V10" s="129">
        <f t="shared" si="5"/>
        <v>2974825.2295297501</v>
      </c>
      <c r="W10" s="129">
        <f t="shared" si="5"/>
        <v>4596104.9796234639</v>
      </c>
      <c r="X10" s="129">
        <f t="shared" si="5"/>
        <v>7100982.1935182512</v>
      </c>
    </row>
    <row r="11" spans="1:24" s="9" customFormat="1" ht="14.25" customHeight="1" x14ac:dyDescent="0.2">
      <c r="B11" s="11" t="s">
        <v>249</v>
      </c>
      <c r="C11" s="129">
        <v>416673</v>
      </c>
      <c r="D11" s="130">
        <v>109270</v>
      </c>
      <c r="E11" s="130">
        <v>103011</v>
      </c>
      <c r="F11" s="130">
        <v>109725</v>
      </c>
      <c r="G11" s="130">
        <f t="shared" si="0"/>
        <v>119122</v>
      </c>
      <c r="H11" s="129">
        <v>441128</v>
      </c>
      <c r="I11" s="130">
        <v>118107</v>
      </c>
      <c r="J11" s="130">
        <v>117107</v>
      </c>
      <c r="K11" s="130">
        <v>125195</v>
      </c>
      <c r="L11" s="130">
        <f t="shared" si="1"/>
        <v>128105</v>
      </c>
      <c r="M11" s="131">
        <v>488514</v>
      </c>
      <c r="N11" s="130">
        <f>I11*(1+N37)</f>
        <v>132279.84000000003</v>
      </c>
      <c r="O11" s="130">
        <f t="shared" si="3"/>
        <v>131159.84000000003</v>
      </c>
      <c r="P11" s="130">
        <f t="shared" si="3"/>
        <v>140218.40000000002</v>
      </c>
      <c r="Q11" s="130">
        <f t="shared" si="3"/>
        <v>143477.6</v>
      </c>
      <c r="R11" s="129">
        <f t="shared" si="4"/>
        <v>547135.68000000005</v>
      </c>
      <c r="S11" s="129">
        <f t="shared" si="5"/>
        <v>605909.03225258889</v>
      </c>
      <c r="T11" s="129">
        <f t="shared" si="5"/>
        <v>670995.8220331542</v>
      </c>
      <c r="U11" s="129">
        <f t="shared" si="5"/>
        <v>743074.23923374689</v>
      </c>
      <c r="V11" s="129">
        <f t="shared" si="5"/>
        <v>822895.3249511132</v>
      </c>
      <c r="W11" s="129">
        <f t="shared" si="5"/>
        <v>911290.79716809664</v>
      </c>
      <c r="X11" s="129">
        <f t="shared" si="5"/>
        <v>1009181.7170702735</v>
      </c>
    </row>
    <row r="12" spans="1:24" s="9" customFormat="1" ht="14" customHeight="1" x14ac:dyDescent="0.2">
      <c r="B12" s="20" t="s">
        <v>250</v>
      </c>
      <c r="C12" s="122">
        <v>90803</v>
      </c>
      <c r="D12" s="123">
        <v>18707</v>
      </c>
      <c r="E12" s="123">
        <v>27304</v>
      </c>
      <c r="F12" s="123">
        <v>24956</v>
      </c>
      <c r="G12" s="130">
        <f t="shared" si="0"/>
        <v>43389</v>
      </c>
      <c r="H12" s="122">
        <v>114356</v>
      </c>
      <c r="I12" s="123">
        <v>19109</v>
      </c>
      <c r="J12" s="123">
        <v>33973</v>
      </c>
      <c r="K12" s="123">
        <v>23978</v>
      </c>
      <c r="L12" s="130">
        <f t="shared" si="1"/>
        <v>21541</v>
      </c>
      <c r="M12" s="122">
        <v>98601</v>
      </c>
      <c r="N12" s="130">
        <f>I12*(1+N38)</f>
        <v>20064.45</v>
      </c>
      <c r="O12" s="130">
        <f t="shared" si="3"/>
        <v>35671.65</v>
      </c>
      <c r="P12" s="130">
        <f t="shared" si="3"/>
        <v>25176.9</v>
      </c>
      <c r="Q12" s="130">
        <f t="shared" si="3"/>
        <v>22618.05</v>
      </c>
      <c r="R12" s="133">
        <f t="shared" si="4"/>
        <v>103531.05</v>
      </c>
      <c r="S12" s="129">
        <f t="shared" si="5"/>
        <v>108707.60250000001</v>
      </c>
      <c r="T12" s="129">
        <f t="shared" si="5"/>
        <v>114142.98262500002</v>
      </c>
      <c r="U12" s="129">
        <f t="shared" si="5"/>
        <v>119850.13175625002</v>
      </c>
      <c r="V12" s="129">
        <f t="shared" si="5"/>
        <v>125842.63834406252</v>
      </c>
      <c r="W12" s="129">
        <f t="shared" si="5"/>
        <v>132134.77026126566</v>
      </c>
      <c r="X12" s="129">
        <f t="shared" si="5"/>
        <v>138741.50877432895</v>
      </c>
    </row>
    <row r="13" spans="1:24" s="9" customFormat="1" ht="14" customHeight="1" x14ac:dyDescent="0.2">
      <c r="B13" s="9" t="s">
        <v>165</v>
      </c>
      <c r="C13" s="281">
        <f>SUM(C9:C12)</f>
        <v>2762360</v>
      </c>
      <c r="D13" s="282">
        <f>SUM(D9:D12)</f>
        <v>620948</v>
      </c>
      <c r="E13" s="282">
        <f>SUM(E9:E12)</f>
        <v>765789</v>
      </c>
      <c r="F13" s="282">
        <f>SUM(F9:F12)</f>
        <v>723146</v>
      </c>
      <c r="G13" s="282">
        <f t="shared" si="0"/>
        <v>744486</v>
      </c>
      <c r="H13" s="281">
        <f>SUM(H9:H12)</f>
        <v>2854369</v>
      </c>
      <c r="I13" s="282">
        <f>SUM(I9:I12)</f>
        <v>675453</v>
      </c>
      <c r="J13" s="282">
        <f>SUM(J9:J12)</f>
        <v>810611</v>
      </c>
      <c r="K13" s="282">
        <f>SUM(K9:K12)</f>
        <v>783487</v>
      </c>
      <c r="L13" s="282">
        <f t="shared" si="1"/>
        <v>835533</v>
      </c>
      <c r="M13" s="281">
        <f>SUM(M9:M12)</f>
        <v>3105084</v>
      </c>
      <c r="N13" s="282">
        <f>SUM(N9:N12)</f>
        <v>753055.33499999996</v>
      </c>
      <c r="O13" s="282">
        <f>SUM(O9:O12)</f>
        <v>903245.76500000001</v>
      </c>
      <c r="P13" s="282">
        <f>SUM(P9:P12)</f>
        <v>887620.19</v>
      </c>
      <c r="Q13" s="282">
        <f>SUM(Q9:Q12)</f>
        <v>950585.94499999995</v>
      </c>
      <c r="R13" s="126">
        <f t="shared" si="4"/>
        <v>3494507.2349999999</v>
      </c>
      <c r="S13" s="281">
        <f t="shared" ref="S13:X13" si="6">SUM(S9:S12)</f>
        <v>3978088.8460941236</v>
      </c>
      <c r="T13" s="281">
        <f t="shared" si="6"/>
        <v>4579846.4666248923</v>
      </c>
      <c r="U13" s="281">
        <f t="shared" si="6"/>
        <v>5419103.8549486753</v>
      </c>
      <c r="V13" s="281">
        <f t="shared" si="6"/>
        <v>6626028.9770517675</v>
      </c>
      <c r="W13" s="281">
        <f t="shared" si="6"/>
        <v>8402149.9290577043</v>
      </c>
      <c r="X13" s="281">
        <f t="shared" si="6"/>
        <v>11059173.659078103</v>
      </c>
    </row>
    <row r="14" spans="1:24" ht="14" customHeight="1" x14ac:dyDescent="0.2">
      <c r="B14" s="20" t="s">
        <v>166</v>
      </c>
      <c r="C14" s="122">
        <v>1505889</v>
      </c>
      <c r="D14" s="123">
        <v>306265</v>
      </c>
      <c r="E14" s="123">
        <v>415473</v>
      </c>
      <c r="F14" s="123">
        <v>372277</v>
      </c>
      <c r="G14" s="123">
        <f t="shared" si="0"/>
        <v>404791</v>
      </c>
      <c r="H14" s="122">
        <v>1498806</v>
      </c>
      <c r="I14" s="123">
        <v>332997</v>
      </c>
      <c r="J14" s="123">
        <v>421029</v>
      </c>
      <c r="K14" s="123">
        <v>395876</v>
      </c>
      <c r="L14" s="123">
        <f t="shared" si="1"/>
        <v>429788</v>
      </c>
      <c r="M14" s="122">
        <v>1579690</v>
      </c>
      <c r="N14" s="284">
        <f>N13*N40</f>
        <v>376527.66749999998</v>
      </c>
      <c r="O14" s="284">
        <f>O13*O40</f>
        <v>451622.88250000001</v>
      </c>
      <c r="P14" s="284">
        <f>P13*P40</f>
        <v>443810.09499999997</v>
      </c>
      <c r="Q14" s="284">
        <f>Q13*Q40</f>
        <v>475292.97249999997</v>
      </c>
      <c r="R14" s="133">
        <f t="shared" si="4"/>
        <v>1747253.6174999999</v>
      </c>
      <c r="S14" s="122">
        <f t="shared" ref="S14:X14" si="7">S13*S40</f>
        <v>1989044.4230470618</v>
      </c>
      <c r="T14" s="122">
        <f t="shared" si="7"/>
        <v>2289923.2333124462</v>
      </c>
      <c r="U14" s="122">
        <f t="shared" si="7"/>
        <v>2709551.9274743376</v>
      </c>
      <c r="V14" s="122">
        <f t="shared" si="7"/>
        <v>3313014.4885258838</v>
      </c>
      <c r="W14" s="122">
        <f t="shared" si="7"/>
        <v>4201074.9645288521</v>
      </c>
      <c r="X14" s="122">
        <f t="shared" si="7"/>
        <v>5529586.8295390513</v>
      </c>
    </row>
    <row r="15" spans="1:24" s="9" customFormat="1" ht="14" customHeight="1" x14ac:dyDescent="0.2">
      <c r="B15" s="9" t="s">
        <v>106</v>
      </c>
      <c r="C15" s="126">
        <f t="shared" ref="C15:M15" si="8">C13-C14</f>
        <v>1256471</v>
      </c>
      <c r="D15" s="127">
        <f t="shared" si="8"/>
        <v>314683</v>
      </c>
      <c r="E15" s="127">
        <f t="shared" si="8"/>
        <v>350316</v>
      </c>
      <c r="F15" s="127">
        <f t="shared" si="8"/>
        <v>350869</v>
      </c>
      <c r="G15" s="127">
        <f t="shared" si="8"/>
        <v>339695</v>
      </c>
      <c r="H15" s="126">
        <f t="shared" si="8"/>
        <v>1355563</v>
      </c>
      <c r="I15" s="127">
        <f t="shared" si="8"/>
        <v>342456</v>
      </c>
      <c r="J15" s="127">
        <f t="shared" si="8"/>
        <v>389582</v>
      </c>
      <c r="K15" s="127">
        <f t="shared" si="8"/>
        <v>387611</v>
      </c>
      <c r="L15" s="127">
        <f t="shared" si="8"/>
        <v>405745</v>
      </c>
      <c r="M15" s="128">
        <f t="shared" si="8"/>
        <v>1525394</v>
      </c>
      <c r="N15" s="127">
        <f>N$13-N14</f>
        <v>376527.66749999998</v>
      </c>
      <c r="O15" s="127">
        <f>O13-O14</f>
        <v>451622.88250000001</v>
      </c>
      <c r="P15" s="127">
        <f>P13-P14</f>
        <v>443810.09499999997</v>
      </c>
      <c r="Q15" s="127">
        <f>Q13-Q14</f>
        <v>475292.97249999997</v>
      </c>
      <c r="R15" s="126">
        <f t="shared" si="4"/>
        <v>1747253.6174999999</v>
      </c>
      <c r="S15" s="126">
        <f t="shared" ref="S15:X15" si="9">S13-S14</f>
        <v>1989044.4230470618</v>
      </c>
      <c r="T15" s="126">
        <f t="shared" si="9"/>
        <v>2289923.2333124462</v>
      </c>
      <c r="U15" s="126">
        <f t="shared" si="9"/>
        <v>2709551.9274743376</v>
      </c>
      <c r="V15" s="126">
        <f t="shared" si="9"/>
        <v>3313014.4885258838</v>
      </c>
      <c r="W15" s="126">
        <f t="shared" si="9"/>
        <v>4201074.9645288521</v>
      </c>
      <c r="X15" s="126">
        <f t="shared" si="9"/>
        <v>5529586.8295390513</v>
      </c>
    </row>
    <row r="16" spans="1:24" ht="14" customHeight="1" x14ac:dyDescent="0.2">
      <c r="B16" s="11" t="s">
        <v>107</v>
      </c>
      <c r="C16" s="129">
        <v>300090</v>
      </c>
      <c r="D16" s="130">
        <v>65012</v>
      </c>
      <c r="E16" s="130">
        <v>87088</v>
      </c>
      <c r="F16" s="130">
        <v>80193</v>
      </c>
      <c r="G16" s="130">
        <f>H16-SUM(D16:F16)</f>
        <v>106333</v>
      </c>
      <c r="H16" s="129">
        <v>338626</v>
      </c>
      <c r="I16" s="130">
        <v>60423</v>
      </c>
      <c r="J16" s="130">
        <v>94335</v>
      </c>
      <c r="K16" s="130">
        <v>76574</v>
      </c>
      <c r="L16" s="130">
        <f>M16-SUM(I16:K16)</f>
        <v>63910</v>
      </c>
      <c r="M16" s="131">
        <v>295242</v>
      </c>
      <c r="N16" s="127">
        <f>N$13*N42</f>
        <v>79070.810174999991</v>
      </c>
      <c r="O16" s="127">
        <f>O$13*O42</f>
        <v>94840.805324999994</v>
      </c>
      <c r="P16" s="127">
        <f>P$13*P42</f>
        <v>93200.119949999993</v>
      </c>
      <c r="Q16" s="127">
        <f>Q$13*Q42</f>
        <v>99811.524224999986</v>
      </c>
      <c r="R16" s="129">
        <f t="shared" si="4"/>
        <v>366923.25967499998</v>
      </c>
      <c r="S16" s="129">
        <f t="shared" ref="S16:X16" si="10">S13*S42</f>
        <v>417699.32883988298</v>
      </c>
      <c r="T16" s="129">
        <f t="shared" si="10"/>
        <v>480883.87899561366</v>
      </c>
      <c r="U16" s="129">
        <f t="shared" si="10"/>
        <v>569005.90476961085</v>
      </c>
      <c r="V16" s="129">
        <f t="shared" si="10"/>
        <v>695733.04259043559</v>
      </c>
      <c r="W16" s="129">
        <f t="shared" si="10"/>
        <v>882225.74255105888</v>
      </c>
      <c r="X16" s="129">
        <f t="shared" si="10"/>
        <v>1161213.2342032008</v>
      </c>
    </row>
    <row r="17" spans="1:24" ht="14" customHeight="1" x14ac:dyDescent="0.2">
      <c r="B17" s="11" t="s">
        <v>167</v>
      </c>
      <c r="C17" s="129">
        <v>540833</v>
      </c>
      <c r="D17" s="130">
        <v>153644</v>
      </c>
      <c r="E17" s="130">
        <v>137462</v>
      </c>
      <c r="F17" s="130">
        <v>129821</v>
      </c>
      <c r="G17" s="130">
        <f>H17-SUM(D17:F17)</f>
        <v>140655</v>
      </c>
      <c r="H17" s="129">
        <v>561582</v>
      </c>
      <c r="I17" s="130">
        <v>158194</v>
      </c>
      <c r="J17" s="130">
        <v>146833</v>
      </c>
      <c r="K17" s="130">
        <v>137315</v>
      </c>
      <c r="L17" s="130">
        <f>M17-SUM(I17:K17)</f>
        <v>171293</v>
      </c>
      <c r="M17" s="131">
        <v>613635</v>
      </c>
      <c r="N17" s="127">
        <f t="shared" ref="N17:Q18" si="11">N$13*N43</f>
        <v>178251.43922370524</v>
      </c>
      <c r="O17" s="127">
        <f t="shared" si="11"/>
        <v>165870.8527200791</v>
      </c>
      <c r="P17" s="127">
        <f t="shared" si="11"/>
        <v>157784.5753526942</v>
      </c>
      <c r="Q17" s="127">
        <f t="shared" si="11"/>
        <v>197256.52139753211</v>
      </c>
      <c r="R17" s="129">
        <f t="shared" si="4"/>
        <v>699163.38869401067</v>
      </c>
      <c r="S17" s="129">
        <f t="shared" ref="S17:X17" si="12">S13*S43</f>
        <v>805861.18139669159</v>
      </c>
      <c r="T17" s="129">
        <f t="shared" si="12"/>
        <v>939211.8223408974</v>
      </c>
      <c r="U17" s="129">
        <f t="shared" si="12"/>
        <v>1124870.2557409934</v>
      </c>
      <c r="V17" s="129">
        <f t="shared" si="12"/>
        <v>1391962.7598586138</v>
      </c>
      <c r="W17" s="129">
        <f t="shared" si="12"/>
        <v>1786086.6692906453</v>
      </c>
      <c r="X17" s="129">
        <f t="shared" si="12"/>
        <v>2378551.3115722984</v>
      </c>
    </row>
    <row r="18" spans="1:24" ht="14" customHeight="1" x14ac:dyDescent="0.2">
      <c r="B18" s="11" t="s">
        <v>168</v>
      </c>
      <c r="C18" s="129">
        <v>26080</v>
      </c>
      <c r="D18" s="130">
        <v>64</v>
      </c>
      <c r="E18" s="130">
        <v>3724</v>
      </c>
      <c r="F18" s="130">
        <v>-547</v>
      </c>
      <c r="G18" s="130">
        <f>H18-SUM(D18:F18)</f>
        <v>7794</v>
      </c>
      <c r="H18" s="129">
        <v>11035</v>
      </c>
      <c r="I18" s="130">
        <v>2590</v>
      </c>
      <c r="J18" s="130">
        <v>2269</v>
      </c>
      <c r="K18" s="130">
        <v>1223</v>
      </c>
      <c r="L18" s="130">
        <f>M18-SUM(I18:K18)</f>
        <v>18419</v>
      </c>
      <c r="M18" s="131">
        <v>24501</v>
      </c>
      <c r="N18" s="127">
        <f t="shared" si="11"/>
        <v>1482.5897011415234</v>
      </c>
      <c r="O18" s="127">
        <f t="shared" si="11"/>
        <v>3460.3713171969493</v>
      </c>
      <c r="P18" s="127">
        <f t="shared" si="11"/>
        <v>357.06886768484293</v>
      </c>
      <c r="Q18" s="127">
        <f t="shared" si="11"/>
        <v>15453.475560250781</v>
      </c>
      <c r="R18" s="129">
        <f t="shared" si="4"/>
        <v>20753.505446274095</v>
      </c>
      <c r="S18" s="129">
        <f t="shared" ref="S18:X18" si="13">S15*S44</f>
        <v>11812.722507237366</v>
      </c>
      <c r="T18" s="129">
        <f t="shared" si="13"/>
        <v>13599.609643990174</v>
      </c>
      <c r="U18" s="129">
        <f t="shared" si="13"/>
        <v>16091.739665206656</v>
      </c>
      <c r="V18" s="129">
        <f t="shared" si="13"/>
        <v>19675.639398470703</v>
      </c>
      <c r="W18" s="129">
        <f t="shared" si="13"/>
        <v>24949.735769127772</v>
      </c>
      <c r="X18" s="129">
        <f t="shared" si="13"/>
        <v>32839.625922961983</v>
      </c>
    </row>
    <row r="19" spans="1:24" ht="14" customHeight="1" x14ac:dyDescent="0.2">
      <c r="B19" s="20" t="s">
        <v>169</v>
      </c>
      <c r="C19" s="122">
        <v>0</v>
      </c>
      <c r="D19" s="123">
        <v>0</v>
      </c>
      <c r="E19" s="123">
        <v>0</v>
      </c>
      <c r="F19" s="123">
        <v>0</v>
      </c>
      <c r="G19" s="123">
        <v>0</v>
      </c>
      <c r="H19" s="122">
        <v>0</v>
      </c>
      <c r="I19" s="285">
        <f>M19/4</f>
        <v>766.5</v>
      </c>
      <c r="J19" s="285">
        <f>I19</f>
        <v>766.5</v>
      </c>
      <c r="K19" s="285">
        <f>J19</f>
        <v>766.5</v>
      </c>
      <c r="L19" s="285">
        <f>K19</f>
        <v>766.5</v>
      </c>
      <c r="M19" s="132">
        <v>3066</v>
      </c>
      <c r="N19" s="287">
        <v>0</v>
      </c>
      <c r="O19" s="125">
        <v>0</v>
      </c>
      <c r="P19" s="125">
        <v>0</v>
      </c>
      <c r="Q19" s="125">
        <v>0</v>
      </c>
      <c r="R19" s="133">
        <f t="shared" si="4"/>
        <v>0</v>
      </c>
      <c r="S19" s="124">
        <f t="shared" ref="S19:X19" si="14">R19</f>
        <v>0</v>
      </c>
      <c r="T19" s="124">
        <f t="shared" si="14"/>
        <v>0</v>
      </c>
      <c r="U19" s="124">
        <f t="shared" si="14"/>
        <v>0</v>
      </c>
      <c r="V19" s="124">
        <f t="shared" si="14"/>
        <v>0</v>
      </c>
      <c r="W19" s="124">
        <f t="shared" si="14"/>
        <v>0</v>
      </c>
      <c r="X19" s="124">
        <f t="shared" si="14"/>
        <v>0</v>
      </c>
    </row>
    <row r="20" spans="1:24" s="9" customFormat="1" ht="14" customHeight="1" x14ac:dyDescent="0.2">
      <c r="A20" s="9" t="s">
        <v>151</v>
      </c>
      <c r="B20" s="9" t="s">
        <v>5</v>
      </c>
      <c r="C20" s="126">
        <f t="shared" ref="C20:H20" si="15">C15-SUM(C16:C19)</f>
        <v>389468</v>
      </c>
      <c r="D20" s="127">
        <f t="shared" si="15"/>
        <v>95963</v>
      </c>
      <c r="E20" s="127">
        <f t="shared" si="15"/>
        <v>122042</v>
      </c>
      <c r="F20" s="127">
        <f t="shared" si="15"/>
        <v>141402</v>
      </c>
      <c r="G20" s="127">
        <f t="shared" si="15"/>
        <v>84913</v>
      </c>
      <c r="H20" s="126">
        <f t="shared" si="15"/>
        <v>444320</v>
      </c>
      <c r="I20" s="127">
        <f>I15-SUM(I16:I18)+I19</f>
        <v>122015.5</v>
      </c>
      <c r="J20" s="127">
        <f>J15-SUM(J16:J18)+J19</f>
        <v>146911.5</v>
      </c>
      <c r="K20" s="127">
        <f>K15-SUM(K16:K18)+K19</f>
        <v>173265.5</v>
      </c>
      <c r="L20" s="127">
        <f>L15-SUM(L16:L18)+L19</f>
        <v>152889.5</v>
      </c>
      <c r="M20" s="128">
        <f>M15-SUM(M16:M18)+M19</f>
        <v>595082</v>
      </c>
      <c r="N20" s="127">
        <f>N15-SUM(N16:N19)</f>
        <v>117722.82840015323</v>
      </c>
      <c r="O20" s="127">
        <f>O15-SUM(O16:O19)</f>
        <v>187450.85313772399</v>
      </c>
      <c r="P20" s="127">
        <f>P15-SUM(P16:P19)</f>
        <v>192468.33082962094</v>
      </c>
      <c r="Q20" s="127">
        <f>Q15-SUM(Q16:Q19)</f>
        <v>162771.45131721708</v>
      </c>
      <c r="R20" s="126">
        <f t="shared" ref="R20:R25" si="16">SUM(N20:Q20)</f>
        <v>660413.46368471521</v>
      </c>
      <c r="S20" s="126">
        <f t="shared" ref="S20:X20" si="17">S15-SUM(S16:S19)</f>
        <v>753671.19030324975</v>
      </c>
      <c r="T20" s="126">
        <f t="shared" si="17"/>
        <v>856227.92233194504</v>
      </c>
      <c r="U20" s="126">
        <f t="shared" si="17"/>
        <v>999584.02729852661</v>
      </c>
      <c r="V20" s="126">
        <f t="shared" si="17"/>
        <v>1205643.0466783638</v>
      </c>
      <c r="W20" s="126">
        <f t="shared" si="17"/>
        <v>1507812.8169180201</v>
      </c>
      <c r="X20" s="126">
        <f t="shared" si="17"/>
        <v>1956982.65784059</v>
      </c>
    </row>
    <row r="21" spans="1:24" ht="14" customHeight="1" x14ac:dyDescent="0.2">
      <c r="B21" s="20" t="s">
        <v>170</v>
      </c>
      <c r="C21" s="122">
        <v>8765</v>
      </c>
      <c r="D21" s="123">
        <v>1942</v>
      </c>
      <c r="E21" s="123">
        <v>-7904</v>
      </c>
      <c r="F21" s="123">
        <v>554</v>
      </c>
      <c r="G21" s="284">
        <f>H21-SUM(D21:F21)</f>
        <v>-4743</v>
      </c>
      <c r="H21" s="122">
        <v>-10151</v>
      </c>
      <c r="I21" s="123">
        <v>-8955</v>
      </c>
      <c r="J21" s="123">
        <v>-5019</v>
      </c>
      <c r="K21" s="123">
        <v>-11022</v>
      </c>
      <c r="L21" s="284">
        <f>M21-SUM(I21:K21)</f>
        <v>-2733</v>
      </c>
      <c r="M21" s="122">
        <v>-27729</v>
      </c>
      <c r="N21" s="125">
        <f>I21</f>
        <v>-8955</v>
      </c>
      <c r="O21" s="125">
        <f>J21</f>
        <v>-5019</v>
      </c>
      <c r="P21" s="125">
        <f>K21</f>
        <v>-11022</v>
      </c>
      <c r="Q21" s="125">
        <f>L21</f>
        <v>-2733</v>
      </c>
      <c r="R21" s="133">
        <f t="shared" si="16"/>
        <v>-27729</v>
      </c>
      <c r="S21" s="124">
        <f t="shared" ref="S21:X21" si="18">R21</f>
        <v>-27729</v>
      </c>
      <c r="T21" s="124">
        <f t="shared" si="18"/>
        <v>-27729</v>
      </c>
      <c r="U21" s="124">
        <f t="shared" si="18"/>
        <v>-27729</v>
      </c>
      <c r="V21" s="124">
        <f t="shared" si="18"/>
        <v>-27729</v>
      </c>
      <c r="W21" s="124">
        <f t="shared" si="18"/>
        <v>-27729</v>
      </c>
      <c r="X21" s="124">
        <f t="shared" si="18"/>
        <v>-27729</v>
      </c>
    </row>
    <row r="22" spans="1:24" s="9" customFormat="1" ht="14" customHeight="1" x14ac:dyDescent="0.2">
      <c r="B22" s="29" t="s">
        <v>108</v>
      </c>
      <c r="C22" s="128">
        <f t="shared" ref="C22:L22" si="19">SUM(C20:C21)</f>
        <v>398233</v>
      </c>
      <c r="D22" s="127">
        <f t="shared" si="19"/>
        <v>97905</v>
      </c>
      <c r="E22" s="127">
        <f t="shared" si="19"/>
        <v>114138</v>
      </c>
      <c r="F22" s="127">
        <f t="shared" si="19"/>
        <v>141956</v>
      </c>
      <c r="G22" s="127">
        <f t="shared" si="19"/>
        <v>80170</v>
      </c>
      <c r="H22" s="128">
        <f t="shared" si="19"/>
        <v>434169</v>
      </c>
      <c r="I22" s="127">
        <f t="shared" si="19"/>
        <v>113060.5</v>
      </c>
      <c r="J22" s="127">
        <f t="shared" si="19"/>
        <v>141892.5</v>
      </c>
      <c r="K22" s="127">
        <f t="shared" si="19"/>
        <v>162243.5</v>
      </c>
      <c r="L22" s="127">
        <f t="shared" si="19"/>
        <v>150156.5</v>
      </c>
      <c r="M22" s="128">
        <f>M20+SUM(M21:M21)</f>
        <v>567353</v>
      </c>
      <c r="N22" s="127">
        <f>SUM(N20:N21)</f>
        <v>108767.82840015323</v>
      </c>
      <c r="O22" s="127">
        <f>SUM(O20:O21)</f>
        <v>182431.85313772399</v>
      </c>
      <c r="P22" s="127">
        <f>SUM(P20:P21)</f>
        <v>181446.33082962094</v>
      </c>
      <c r="Q22" s="127">
        <f>SUM(Q20:Q21)</f>
        <v>160038.45131721708</v>
      </c>
      <c r="R22" s="128">
        <f t="shared" si="16"/>
        <v>632684.46368471521</v>
      </c>
      <c r="S22" s="128">
        <f t="shared" ref="S22:X22" si="20">SUM(S20:S21)</f>
        <v>725942.19030324975</v>
      </c>
      <c r="T22" s="128">
        <f t="shared" si="20"/>
        <v>828498.92233194504</v>
      </c>
      <c r="U22" s="128">
        <f t="shared" si="20"/>
        <v>971855.02729852661</v>
      </c>
      <c r="V22" s="128">
        <f t="shared" si="20"/>
        <v>1177914.0466783638</v>
      </c>
      <c r="W22" s="128">
        <f t="shared" si="20"/>
        <v>1480083.8169180201</v>
      </c>
      <c r="X22" s="128">
        <f t="shared" si="20"/>
        <v>1929253.65784059</v>
      </c>
    </row>
    <row r="23" spans="1:24" ht="14" customHeight="1" x14ac:dyDescent="0.2">
      <c r="B23" s="20" t="s">
        <v>14</v>
      </c>
      <c r="C23" s="122">
        <v>-133218</v>
      </c>
      <c r="D23" s="123">
        <v>-32835</v>
      </c>
      <c r="E23" s="123">
        <v>-38229</v>
      </c>
      <c r="F23" s="123">
        <v>-47554</v>
      </c>
      <c r="G23" s="123">
        <f>H23-SUM(D23:F23)</f>
        <v>-25497</v>
      </c>
      <c r="H23" s="122">
        <v>-144115</v>
      </c>
      <c r="I23" s="123">
        <v>-34699</v>
      </c>
      <c r="J23" s="123">
        <v>-43270</v>
      </c>
      <c r="K23" s="123">
        <v>-48159</v>
      </c>
      <c r="L23" s="123">
        <f>M23-SUM(I23:K23)</f>
        <v>-41507</v>
      </c>
      <c r="M23" s="122">
        <v>-167635</v>
      </c>
      <c r="N23" s="123">
        <f>-N22*N47</f>
        <v>-30019.920638442294</v>
      </c>
      <c r="O23" s="123">
        <f>-O22*O47</f>
        <v>-50351.191466011827</v>
      </c>
      <c r="P23" s="123">
        <f>-P22*P47</f>
        <v>-50079.187308975386</v>
      </c>
      <c r="Q23" s="123">
        <f>-Q22*Q47</f>
        <v>-44238.617701023461</v>
      </c>
      <c r="R23" s="133">
        <f t="shared" si="16"/>
        <v>-174688.91711445298</v>
      </c>
      <c r="S23" s="122">
        <f t="shared" ref="S23:X23" si="21">-S22*S47</f>
        <v>-200360.04452369694</v>
      </c>
      <c r="T23" s="122">
        <f t="shared" si="21"/>
        <v>-228665.70256361685</v>
      </c>
      <c r="U23" s="122">
        <f t="shared" si="21"/>
        <v>-268231.98753439338</v>
      </c>
      <c r="V23" s="122">
        <f t="shared" si="21"/>
        <v>-325104.27688322845</v>
      </c>
      <c r="W23" s="122">
        <f t="shared" si="21"/>
        <v>-408503.13346937357</v>
      </c>
      <c r="X23" s="122">
        <f t="shared" si="21"/>
        <v>-532474.00956400286</v>
      </c>
    </row>
    <row r="24" spans="1:24" s="9" customFormat="1" ht="14" customHeight="1" x14ac:dyDescent="0.2">
      <c r="A24" s="9" t="s">
        <v>12</v>
      </c>
      <c r="B24" s="9" t="s">
        <v>89</v>
      </c>
      <c r="C24" s="115">
        <f t="shared" ref="C24:Q24" si="22">C22+C23</f>
        <v>265015</v>
      </c>
      <c r="D24" s="286">
        <f t="shared" si="22"/>
        <v>65070</v>
      </c>
      <c r="E24" s="286">
        <f t="shared" si="22"/>
        <v>75909</v>
      </c>
      <c r="F24" s="286">
        <f t="shared" si="22"/>
        <v>94402</v>
      </c>
      <c r="G24" s="286">
        <f t="shared" si="22"/>
        <v>54673</v>
      </c>
      <c r="H24" s="115">
        <f t="shared" si="22"/>
        <v>290054</v>
      </c>
      <c r="I24" s="286">
        <f t="shared" si="22"/>
        <v>78361.5</v>
      </c>
      <c r="J24" s="286">
        <f t="shared" si="22"/>
        <v>98622.5</v>
      </c>
      <c r="K24" s="286">
        <f t="shared" si="22"/>
        <v>114084.5</v>
      </c>
      <c r="L24" s="286">
        <f t="shared" si="22"/>
        <v>108649.5</v>
      </c>
      <c r="M24" s="116">
        <f t="shared" si="22"/>
        <v>399718</v>
      </c>
      <c r="N24" s="286">
        <f t="shared" si="22"/>
        <v>78747.907761710929</v>
      </c>
      <c r="O24" s="286">
        <f t="shared" si="22"/>
        <v>132080.66167171215</v>
      </c>
      <c r="P24" s="286">
        <f t="shared" si="22"/>
        <v>131367.14352064556</v>
      </c>
      <c r="Q24" s="286">
        <f t="shared" si="22"/>
        <v>115799.83361619362</v>
      </c>
      <c r="R24" s="128">
        <f t="shared" si="16"/>
        <v>457995.54657026229</v>
      </c>
      <c r="S24" s="115">
        <f t="shared" ref="S24:X24" si="23">S22+S23</f>
        <v>525582.14577955287</v>
      </c>
      <c r="T24" s="115">
        <f t="shared" si="23"/>
        <v>599833.21976832813</v>
      </c>
      <c r="U24" s="115">
        <f t="shared" si="23"/>
        <v>703623.03976413328</v>
      </c>
      <c r="V24" s="115">
        <f t="shared" si="23"/>
        <v>852809.76979513536</v>
      </c>
      <c r="W24" s="115">
        <f t="shared" si="23"/>
        <v>1071580.6834486467</v>
      </c>
      <c r="X24" s="115">
        <f t="shared" si="23"/>
        <v>1396779.648276587</v>
      </c>
    </row>
    <row r="25" spans="1:24" s="9" customFormat="1" ht="14" customHeight="1" x14ac:dyDescent="0.2">
      <c r="B25" s="20" t="s">
        <v>241</v>
      </c>
      <c r="C25" s="122">
        <f>-3644</f>
        <v>-3644</v>
      </c>
      <c r="D25" s="123">
        <v>-696</v>
      </c>
      <c r="E25" s="123">
        <v>-649</v>
      </c>
      <c r="F25" s="123">
        <v>-437</v>
      </c>
      <c r="G25" s="123">
        <f>H25-SUM(D25:F25)</f>
        <v>-456</v>
      </c>
      <c r="H25" s="122">
        <f>-2238</f>
        <v>-2238</v>
      </c>
      <c r="I25" s="123">
        <v>-258</v>
      </c>
      <c r="J25" s="123">
        <v>-213</v>
      </c>
      <c r="K25" s="123">
        <v>-462</v>
      </c>
      <c r="L25" s="123">
        <f>M25-SUM(I25:K25)</f>
        <v>-23</v>
      </c>
      <c r="M25" s="122">
        <v>-956</v>
      </c>
      <c r="N25" s="123">
        <f>N24*N49</f>
        <v>0</v>
      </c>
      <c r="O25" s="123">
        <f>O24*O49</f>
        <v>0</v>
      </c>
      <c r="P25" s="123">
        <f>P24*P49</f>
        <v>0</v>
      </c>
      <c r="Q25" s="123">
        <f>Q24*Q49</f>
        <v>0</v>
      </c>
      <c r="R25" s="133">
        <f t="shared" si="16"/>
        <v>0</v>
      </c>
      <c r="S25" s="122">
        <f t="shared" ref="S25:X25" si="24">S24*S49</f>
        <v>0</v>
      </c>
      <c r="T25" s="122">
        <f t="shared" si="24"/>
        <v>0</v>
      </c>
      <c r="U25" s="122">
        <f t="shared" si="24"/>
        <v>0</v>
      </c>
      <c r="V25" s="122">
        <f t="shared" si="24"/>
        <v>0</v>
      </c>
      <c r="W25" s="122">
        <f t="shared" si="24"/>
        <v>0</v>
      </c>
      <c r="X25" s="122">
        <f t="shared" si="24"/>
        <v>0</v>
      </c>
    </row>
    <row r="26" spans="1:24" s="9" customFormat="1" ht="14" customHeight="1" x14ac:dyDescent="0.2">
      <c r="B26" s="29" t="s">
        <v>242</v>
      </c>
      <c r="C26" s="116">
        <f>C24+C25</f>
        <v>261371</v>
      </c>
      <c r="D26" s="118">
        <f t="shared" ref="D26:V26" si="25">D24+D25</f>
        <v>64374</v>
      </c>
      <c r="E26" s="118">
        <f t="shared" si="25"/>
        <v>75260</v>
      </c>
      <c r="F26" s="118">
        <f t="shared" si="25"/>
        <v>93965</v>
      </c>
      <c r="G26" s="118">
        <f t="shared" si="25"/>
        <v>54217</v>
      </c>
      <c r="H26" s="116">
        <f t="shared" si="25"/>
        <v>287816</v>
      </c>
      <c r="I26" s="118">
        <f t="shared" si="25"/>
        <v>78103.5</v>
      </c>
      <c r="J26" s="118">
        <f t="shared" si="25"/>
        <v>98409.5</v>
      </c>
      <c r="K26" s="118">
        <f t="shared" si="25"/>
        <v>113622.5</v>
      </c>
      <c r="L26" s="118">
        <f t="shared" si="25"/>
        <v>108626.5</v>
      </c>
      <c r="M26" s="116">
        <f t="shared" si="25"/>
        <v>398762</v>
      </c>
      <c r="N26" s="118">
        <f t="shared" si="25"/>
        <v>78747.907761710929</v>
      </c>
      <c r="O26" s="118">
        <f t="shared" si="25"/>
        <v>132080.66167171215</v>
      </c>
      <c r="P26" s="118">
        <f t="shared" si="25"/>
        <v>131367.14352064556</v>
      </c>
      <c r="Q26" s="118">
        <f t="shared" si="25"/>
        <v>115799.83361619362</v>
      </c>
      <c r="R26" s="116">
        <f t="shared" si="25"/>
        <v>457995.54657026229</v>
      </c>
      <c r="S26" s="116">
        <f t="shared" si="25"/>
        <v>525582.14577955287</v>
      </c>
      <c r="T26" s="116">
        <f t="shared" si="25"/>
        <v>599833.21976832813</v>
      </c>
      <c r="U26" s="116">
        <f t="shared" si="25"/>
        <v>703623.03976413328</v>
      </c>
      <c r="V26" s="116">
        <f t="shared" si="25"/>
        <v>852809.76979513536</v>
      </c>
      <c r="W26" s="116">
        <f>W24+W25</f>
        <v>1071580.6834486467</v>
      </c>
      <c r="X26" s="116">
        <f>X24+X25</f>
        <v>1396779.648276587</v>
      </c>
    </row>
    <row r="27" spans="1:24" s="9" customFormat="1" ht="14" customHeight="1" x14ac:dyDescent="0.2">
      <c r="B27" s="29"/>
      <c r="C27" s="28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28"/>
      <c r="S27" s="28"/>
      <c r="T27" s="28"/>
      <c r="U27" s="15"/>
      <c r="V27" s="15"/>
      <c r="W27" s="15"/>
      <c r="X27" s="15"/>
    </row>
    <row r="28" spans="1:24" s="9" customFormat="1" ht="14" customHeight="1" x14ac:dyDescent="0.2">
      <c r="A28" s="9" t="s">
        <v>12</v>
      </c>
      <c r="B28" s="29" t="s">
        <v>132</v>
      </c>
      <c r="C28" s="28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240"/>
      <c r="R28" s="28"/>
      <c r="S28" s="58"/>
      <c r="T28" s="28"/>
      <c r="U28" s="15"/>
      <c r="V28" s="15"/>
      <c r="W28" s="15"/>
      <c r="X28" s="15"/>
    </row>
    <row r="29" spans="1:24" ht="14" customHeight="1" x14ac:dyDescent="0.2">
      <c r="B29" s="26" t="s">
        <v>133</v>
      </c>
      <c r="C29" s="377">
        <f>C26/C32</f>
        <v>1.3834789835012147</v>
      </c>
      <c r="D29" s="377">
        <f t="shared" ref="D29:V29" si="26">D26/D32</f>
        <v>0.34074199541612193</v>
      </c>
      <c r="E29" s="377">
        <f t="shared" si="26"/>
        <v>0.39836335438247328</v>
      </c>
      <c r="F29" s="377">
        <f t="shared" si="26"/>
        <v>0.49737194518401678</v>
      </c>
      <c r="G29" s="377">
        <f t="shared" si="26"/>
        <v>0.28697935137595743</v>
      </c>
      <c r="H29" s="377">
        <f t="shared" si="26"/>
        <v>1.5234566463585693</v>
      </c>
      <c r="I29" s="377">
        <f t="shared" si="26"/>
        <v>0.41341445985930775</v>
      </c>
      <c r="J29" s="377">
        <f t="shared" si="26"/>
        <v>0.5208974026455222</v>
      </c>
      <c r="K29" s="377">
        <f t="shared" si="26"/>
        <v>0.60142227256607195</v>
      </c>
      <c r="L29" s="377">
        <f t="shared" si="26"/>
        <v>0.57497763639154575</v>
      </c>
      <c r="M29" s="377">
        <f t="shared" si="26"/>
        <v>2.1107117714624475</v>
      </c>
      <c r="N29" s="377">
        <f t="shared" si="26"/>
        <v>0.41682541438422493</v>
      </c>
      <c r="O29" s="377">
        <f t="shared" si="26"/>
        <v>0.69912430816635429</v>
      </c>
      <c r="P29" s="377">
        <f t="shared" si="26"/>
        <v>0.69534754117098274</v>
      </c>
      <c r="Q29" s="377">
        <f t="shared" si="26"/>
        <v>0.61294725161146935</v>
      </c>
      <c r="R29" s="377">
        <f t="shared" si="26"/>
        <v>2.4242445153330312</v>
      </c>
      <c r="S29" s="377">
        <f t="shared" si="26"/>
        <v>2.7819913180478442</v>
      </c>
      <c r="T29" s="377">
        <f t="shared" si="26"/>
        <v>3.1750142638446781</v>
      </c>
      <c r="U29" s="377">
        <f t="shared" si="26"/>
        <v>3.7243905705717846</v>
      </c>
      <c r="V29" s="377">
        <f t="shared" si="26"/>
        <v>4.51406006571532</v>
      </c>
      <c r="W29" s="377">
        <f>W26/W32</f>
        <v>5.6720499010107117</v>
      </c>
      <c r="X29" s="377">
        <f>X26/X32</f>
        <v>7.3933806274333298</v>
      </c>
    </row>
    <row r="30" spans="1:24" s="9" customFormat="1" ht="14" customHeight="1" x14ac:dyDescent="0.2">
      <c r="B30" s="29"/>
      <c r="C30" s="28"/>
      <c r="D30" s="135"/>
      <c r="E30" s="135"/>
      <c r="F30" s="135"/>
      <c r="G30" s="135"/>
      <c r="H30" s="135"/>
      <c r="I30" s="142"/>
      <c r="J30" s="135"/>
      <c r="K30" s="135"/>
      <c r="L30" s="135"/>
      <c r="M30" s="395" t="s">
        <v>335</v>
      </c>
      <c r="N30" s="396">
        <v>0.52</v>
      </c>
      <c r="O30" s="396">
        <v>0.62</v>
      </c>
      <c r="P30" s="396">
        <v>0.61</v>
      </c>
      <c r="Q30" s="396">
        <v>0.73</v>
      </c>
      <c r="R30" s="396">
        <f>SUM(N30:Q30)</f>
        <v>2.48</v>
      </c>
      <c r="S30" s="396">
        <v>2.84</v>
      </c>
      <c r="T30" s="396">
        <v>3.14</v>
      </c>
      <c r="U30" s="397">
        <v>3.67</v>
      </c>
      <c r="V30" s="15"/>
      <c r="W30" s="15"/>
      <c r="X30" s="15"/>
    </row>
    <row r="31" spans="1:24" ht="14" customHeight="1" x14ac:dyDescent="0.2">
      <c r="B31" s="26" t="s">
        <v>134</v>
      </c>
      <c r="C31" s="26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398"/>
      <c r="O31" s="143"/>
      <c r="P31" s="143"/>
      <c r="Q31" s="143"/>
      <c r="R31" s="26"/>
      <c r="S31" s="26"/>
      <c r="T31" s="26"/>
    </row>
    <row r="32" spans="1:24" s="140" customFormat="1" ht="14.25" customHeight="1" x14ac:dyDescent="0.2">
      <c r="B32" s="134" t="s">
        <v>133</v>
      </c>
      <c r="C32" s="134">
        <v>188923</v>
      </c>
      <c r="D32" s="134">
        <v>188923</v>
      </c>
      <c r="E32" s="134">
        <v>188923</v>
      </c>
      <c r="F32" s="134">
        <v>188923</v>
      </c>
      <c r="G32" s="134">
        <v>188923</v>
      </c>
      <c r="H32" s="134">
        <v>188923</v>
      </c>
      <c r="I32" s="134">
        <v>188923</v>
      </c>
      <c r="J32" s="134">
        <v>188923</v>
      </c>
      <c r="K32" s="134">
        <v>188923</v>
      </c>
      <c r="L32" s="134">
        <v>188923</v>
      </c>
      <c r="M32" s="134">
        <v>188923</v>
      </c>
      <c r="N32" s="144">
        <f>M32</f>
        <v>188923</v>
      </c>
      <c r="O32" s="144">
        <f t="shared" ref="O32:V32" si="27">N32</f>
        <v>188923</v>
      </c>
      <c r="P32" s="144">
        <f t="shared" si="27"/>
        <v>188923</v>
      </c>
      <c r="Q32" s="144">
        <f t="shared" si="27"/>
        <v>188923</v>
      </c>
      <c r="R32" s="144">
        <f t="shared" si="27"/>
        <v>188923</v>
      </c>
      <c r="S32" s="144">
        <f t="shared" si="27"/>
        <v>188923</v>
      </c>
      <c r="T32" s="144">
        <f t="shared" si="27"/>
        <v>188923</v>
      </c>
      <c r="U32" s="144">
        <f t="shared" si="27"/>
        <v>188923</v>
      </c>
      <c r="V32" s="144">
        <f t="shared" si="27"/>
        <v>188923</v>
      </c>
      <c r="W32" s="144">
        <f>V32</f>
        <v>188923</v>
      </c>
      <c r="X32" s="144">
        <f>W32</f>
        <v>188923</v>
      </c>
    </row>
    <row r="33" spans="1:24" ht="14" customHeight="1" x14ac:dyDescent="0.2">
      <c r="B33" s="26"/>
      <c r="C33" s="26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26"/>
      <c r="S33" s="26"/>
      <c r="T33" s="26"/>
    </row>
    <row r="34" spans="1:24" ht="14" customHeight="1" x14ac:dyDescent="0.2">
      <c r="A34" s="1" t="s">
        <v>12</v>
      </c>
      <c r="B34" s="29" t="s">
        <v>245</v>
      </c>
      <c r="C34" s="26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26"/>
      <c r="S34" s="26"/>
      <c r="T34" s="23"/>
    </row>
    <row r="35" spans="1:24" ht="14" customHeight="1" x14ac:dyDescent="0.2">
      <c r="B35" s="24" t="s">
        <v>252</v>
      </c>
      <c r="C35" s="23"/>
      <c r="D35" s="143"/>
      <c r="E35" s="143"/>
      <c r="F35" s="143"/>
      <c r="G35" s="143"/>
      <c r="H35" s="145">
        <f t="shared" ref="H35:M39" si="28">H9/C9-1</f>
        <v>7.0225324620870611E-2</v>
      </c>
      <c r="I35" s="145">
        <f t="shared" si="28"/>
        <v>0.12081589470642529</v>
      </c>
      <c r="J35" s="145">
        <f t="shared" si="28"/>
        <v>1.8143170194697467E-2</v>
      </c>
      <c r="K35" s="145">
        <f t="shared" si="28"/>
        <v>-1.1772451347973334E-3</v>
      </c>
      <c r="L35" s="145">
        <f t="shared" si="28"/>
        <v>7.1212509038187433E-2</v>
      </c>
      <c r="M35" s="145">
        <f t="shared" si="28"/>
        <v>4.7983682557873442E-2</v>
      </c>
      <c r="N35" s="146">
        <v>6.5000000000000002E-2</v>
      </c>
      <c r="O35" s="146">
        <v>6.5000000000000002E-2</v>
      </c>
      <c r="P35" s="146">
        <v>6.5000000000000002E-2</v>
      </c>
      <c r="Q35" s="146">
        <v>6.5000000000000002E-2</v>
      </c>
      <c r="R35" s="145">
        <v>0.08</v>
      </c>
      <c r="S35" s="309">
        <f t="shared" ref="S35:X35" si="29">S9/R9-1</f>
        <v>5.7336289617586411E-2</v>
      </c>
      <c r="T35" s="309">
        <f t="shared" si="29"/>
        <v>3.7291999767016026E-2</v>
      </c>
      <c r="U35" s="309">
        <f t="shared" si="29"/>
        <v>3.2280927304373375E-2</v>
      </c>
      <c r="V35" s="309">
        <f t="shared" si="29"/>
        <v>2.7269854841730945E-2</v>
      </c>
      <c r="W35" s="309">
        <f t="shared" si="29"/>
        <v>2.2258782379088293E-2</v>
      </c>
      <c r="X35" s="309">
        <f t="shared" si="29"/>
        <v>1.7247709916445642E-2</v>
      </c>
    </row>
    <row r="36" spans="1:24" ht="14" customHeight="1" x14ac:dyDescent="0.2">
      <c r="B36" s="24" t="s">
        <v>253</v>
      </c>
      <c r="C36" s="23"/>
      <c r="D36" s="143"/>
      <c r="E36" s="143"/>
      <c r="F36" s="143"/>
      <c r="G36" s="143"/>
      <c r="H36" s="145">
        <f t="shared" si="28"/>
        <v>-0.29727306326428948</v>
      </c>
      <c r="I36" s="145">
        <f t="shared" si="28"/>
        <v>-0.10304321268031391</v>
      </c>
      <c r="J36" s="145">
        <f t="shared" si="28"/>
        <v>0.23679204119033082</v>
      </c>
      <c r="K36" s="145">
        <f t="shared" si="28"/>
        <v>0.91555870708503218</v>
      </c>
      <c r="L36" s="145">
        <f t="shared" si="28"/>
        <v>1.4075428913703845</v>
      </c>
      <c r="M36" s="145">
        <f t="shared" si="28"/>
        <v>0.54545246664867797</v>
      </c>
      <c r="N36" s="146">
        <v>0.54500000000000004</v>
      </c>
      <c r="O36" s="146">
        <v>0.54500000000000004</v>
      </c>
      <c r="P36" s="146">
        <v>0.54500000000000004</v>
      </c>
      <c r="Q36" s="146">
        <v>0.54500000000000004</v>
      </c>
      <c r="R36" s="311">
        <f>Q36</f>
        <v>0.54500000000000004</v>
      </c>
      <c r="S36" s="38">
        <f t="shared" ref="S36:V38" si="30">R36</f>
        <v>0.54500000000000004</v>
      </c>
      <c r="T36" s="38">
        <f t="shared" si="30"/>
        <v>0.54500000000000004</v>
      </c>
      <c r="U36" s="38">
        <f t="shared" si="30"/>
        <v>0.54500000000000004</v>
      </c>
      <c r="V36" s="38">
        <f t="shared" si="30"/>
        <v>0.54500000000000004</v>
      </c>
      <c r="W36" s="38">
        <f t="shared" ref="W36:X38" si="31">V36</f>
        <v>0.54500000000000004</v>
      </c>
      <c r="X36" s="38">
        <f t="shared" si="31"/>
        <v>0.54500000000000004</v>
      </c>
    </row>
    <row r="37" spans="1:24" ht="14" customHeight="1" x14ac:dyDescent="0.2">
      <c r="B37" s="24" t="s">
        <v>254</v>
      </c>
      <c r="C37" s="23"/>
      <c r="D37" s="143"/>
      <c r="E37" s="143"/>
      <c r="F37" s="143"/>
      <c r="G37" s="143"/>
      <c r="H37" s="145">
        <f t="shared" si="28"/>
        <v>5.8691107895159966E-2</v>
      </c>
      <c r="I37" s="145">
        <f t="shared" si="28"/>
        <v>8.0873066715475339E-2</v>
      </c>
      <c r="J37" s="145">
        <f t="shared" si="28"/>
        <v>0.13683975497762368</v>
      </c>
      <c r="K37" s="145">
        <f t="shared" si="28"/>
        <v>0.14098883572567789</v>
      </c>
      <c r="L37" s="145">
        <f t="shared" si="28"/>
        <v>7.5410083779654524E-2</v>
      </c>
      <c r="M37" s="145">
        <f t="shared" si="28"/>
        <v>0.10742006855153163</v>
      </c>
      <c r="N37" s="146">
        <v>0.12</v>
      </c>
      <c r="O37" s="146">
        <v>0.12</v>
      </c>
      <c r="P37" s="146">
        <v>0.12</v>
      </c>
      <c r="Q37" s="146">
        <v>0.12</v>
      </c>
      <c r="R37" s="311">
        <f>M37</f>
        <v>0.10742006855153163</v>
      </c>
      <c r="S37" s="38">
        <f t="shared" si="30"/>
        <v>0.10742006855153163</v>
      </c>
      <c r="T37" s="38">
        <f t="shared" si="30"/>
        <v>0.10742006855153163</v>
      </c>
      <c r="U37" s="38">
        <f t="shared" si="30"/>
        <v>0.10742006855153163</v>
      </c>
      <c r="V37" s="38">
        <f t="shared" si="30"/>
        <v>0.10742006855153163</v>
      </c>
      <c r="W37" s="38">
        <f t="shared" si="31"/>
        <v>0.10742006855153163</v>
      </c>
      <c r="X37" s="38">
        <f t="shared" si="31"/>
        <v>0.10742006855153163</v>
      </c>
    </row>
    <row r="38" spans="1:24" ht="14" customHeight="1" x14ac:dyDescent="0.2">
      <c r="B38" s="24" t="s">
        <v>255</v>
      </c>
      <c r="C38" s="23"/>
      <c r="D38" s="143"/>
      <c r="E38" s="143"/>
      <c r="F38" s="143"/>
      <c r="G38" s="143"/>
      <c r="H38" s="145">
        <f t="shared" si="28"/>
        <v>0.25938570311553577</v>
      </c>
      <c r="I38" s="145">
        <f t="shared" si="28"/>
        <v>2.1489282086919248E-2</v>
      </c>
      <c r="J38" s="145">
        <f t="shared" si="28"/>
        <v>0.24424992675065926</v>
      </c>
      <c r="K38" s="145">
        <f t="shared" si="28"/>
        <v>-3.9188972591761462E-2</v>
      </c>
      <c r="L38" s="145">
        <f t="shared" si="28"/>
        <v>-0.50353776302749542</v>
      </c>
      <c r="M38" s="145">
        <f t="shared" si="28"/>
        <v>-0.13777152051488339</v>
      </c>
      <c r="N38" s="146">
        <v>0.05</v>
      </c>
      <c r="O38" s="146">
        <v>0.05</v>
      </c>
      <c r="P38" s="146">
        <v>0.05</v>
      </c>
      <c r="Q38" s="146">
        <v>0.05</v>
      </c>
      <c r="R38" s="311">
        <v>0.05</v>
      </c>
      <c r="S38" s="38">
        <f>R38</f>
        <v>0.05</v>
      </c>
      <c r="T38" s="38">
        <f t="shared" si="30"/>
        <v>0.05</v>
      </c>
      <c r="U38" s="38">
        <f t="shared" si="30"/>
        <v>0.05</v>
      </c>
      <c r="V38" s="38">
        <f t="shared" si="30"/>
        <v>0.05</v>
      </c>
      <c r="W38" s="38">
        <f t="shared" si="31"/>
        <v>0.05</v>
      </c>
      <c r="X38" s="38">
        <f t="shared" si="31"/>
        <v>0.05</v>
      </c>
    </row>
    <row r="39" spans="1:24" ht="14" customHeight="1" x14ac:dyDescent="0.2">
      <c r="B39" s="31" t="s">
        <v>118</v>
      </c>
      <c r="C39" s="58"/>
      <c r="D39" s="296"/>
      <c r="E39" s="296"/>
      <c r="F39" s="296"/>
      <c r="G39" s="296"/>
      <c r="H39" s="296">
        <f t="shared" si="28"/>
        <v>3.3308113352350954E-2</v>
      </c>
      <c r="I39" s="296">
        <f t="shared" si="28"/>
        <v>8.7777076341336135E-2</v>
      </c>
      <c r="J39" s="296">
        <f t="shared" si="28"/>
        <v>5.8530482939817663E-2</v>
      </c>
      <c r="K39" s="296">
        <f t="shared" si="28"/>
        <v>8.3442347741673251E-2</v>
      </c>
      <c r="L39" s="296">
        <f t="shared" si="28"/>
        <v>0.12229511367574397</v>
      </c>
      <c r="M39" s="296">
        <f t="shared" si="28"/>
        <v>8.7835525119562385E-2</v>
      </c>
      <c r="N39" s="296">
        <f>N13/I13-1</f>
        <v>0.11488931872387864</v>
      </c>
      <c r="O39" s="296">
        <f>O13/J13-1</f>
        <v>0.11427770533585169</v>
      </c>
      <c r="P39" s="296">
        <f>P13/K13-1</f>
        <v>0.13290991426788179</v>
      </c>
      <c r="Q39" s="296">
        <f>Q13/L13-1</f>
        <v>0.13770006091919762</v>
      </c>
      <c r="R39" s="296">
        <f>R13/M13-1</f>
        <v>0.12541471824916806</v>
      </c>
      <c r="S39" s="310">
        <f t="shared" ref="S39:X39" si="32">S13/R13-1</f>
        <v>0.13838334808716568</v>
      </c>
      <c r="T39" s="310">
        <f t="shared" si="32"/>
        <v>0.15126801934592349</v>
      </c>
      <c r="U39" s="310">
        <f t="shared" si="32"/>
        <v>0.18325011426469762</v>
      </c>
      <c r="V39" s="310">
        <f t="shared" si="32"/>
        <v>0.22271673590476393</v>
      </c>
      <c r="W39" s="310">
        <f t="shared" si="32"/>
        <v>0.26805209547939768</v>
      </c>
      <c r="X39" s="310">
        <f t="shared" si="32"/>
        <v>0.31623141130003396</v>
      </c>
    </row>
    <row r="40" spans="1:24" ht="14" customHeight="1" x14ac:dyDescent="0.2">
      <c r="B40" s="24" t="s">
        <v>119</v>
      </c>
      <c r="C40" s="23">
        <f t="shared" ref="C40:M40" si="33">C14/C13</f>
        <v>0.54514581734458945</v>
      </c>
      <c r="D40" s="145">
        <f t="shared" si="33"/>
        <v>0.49322165463130568</v>
      </c>
      <c r="E40" s="145">
        <f t="shared" si="33"/>
        <v>0.54254239744890564</v>
      </c>
      <c r="F40" s="145">
        <f t="shared" si="33"/>
        <v>0.51480199019285178</v>
      </c>
      <c r="G40" s="145">
        <f t="shared" si="33"/>
        <v>0.5437187536098731</v>
      </c>
      <c r="H40" s="145">
        <f t="shared" si="33"/>
        <v>0.52509188545699592</v>
      </c>
      <c r="I40" s="145">
        <f t="shared" si="33"/>
        <v>0.49299803243156815</v>
      </c>
      <c r="J40" s="145">
        <f t="shared" si="33"/>
        <v>0.51939709675787771</v>
      </c>
      <c r="K40" s="145">
        <f t="shared" si="33"/>
        <v>0.50527449721565254</v>
      </c>
      <c r="L40" s="145">
        <f t="shared" si="33"/>
        <v>0.51438782190529875</v>
      </c>
      <c r="M40" s="145">
        <f t="shared" si="33"/>
        <v>0.50874308070248664</v>
      </c>
      <c r="N40" s="146">
        <v>0.5</v>
      </c>
      <c r="O40" s="146">
        <v>0.5</v>
      </c>
      <c r="P40" s="146">
        <v>0.5</v>
      </c>
      <c r="Q40" s="146">
        <v>0.5</v>
      </c>
      <c r="R40" s="311">
        <f>R14/R13</f>
        <v>0.5</v>
      </c>
      <c r="S40" s="38">
        <f t="shared" ref="S40:X40" si="34">R40</f>
        <v>0.5</v>
      </c>
      <c r="T40" s="38">
        <f t="shared" si="34"/>
        <v>0.5</v>
      </c>
      <c r="U40" s="38">
        <f t="shared" si="34"/>
        <v>0.5</v>
      </c>
      <c r="V40" s="38">
        <f t="shared" si="34"/>
        <v>0.5</v>
      </c>
      <c r="W40" s="38">
        <f t="shared" si="34"/>
        <v>0.5</v>
      </c>
      <c r="X40" s="38">
        <f t="shared" si="34"/>
        <v>0.5</v>
      </c>
    </row>
    <row r="41" spans="1:24" ht="14" customHeight="1" x14ac:dyDescent="0.2">
      <c r="B41" s="24" t="s">
        <v>120</v>
      </c>
      <c r="C41" s="23">
        <f t="shared" ref="C41:N41" si="35">C15/C13</f>
        <v>0.45485418265541061</v>
      </c>
      <c r="D41" s="145">
        <f t="shared" si="35"/>
        <v>0.50677834536869437</v>
      </c>
      <c r="E41" s="145">
        <f t="shared" si="35"/>
        <v>0.45745760255109436</v>
      </c>
      <c r="F41" s="145">
        <f t="shared" si="35"/>
        <v>0.48519800980714822</v>
      </c>
      <c r="G41" s="145">
        <f t="shared" si="35"/>
        <v>0.4562812463901269</v>
      </c>
      <c r="H41" s="145">
        <f t="shared" si="35"/>
        <v>0.47490811454300408</v>
      </c>
      <c r="I41" s="145">
        <f t="shared" si="35"/>
        <v>0.50700196756843185</v>
      </c>
      <c r="J41" s="145">
        <f t="shared" si="35"/>
        <v>0.48060290324212229</v>
      </c>
      <c r="K41" s="145">
        <f t="shared" si="35"/>
        <v>0.4947255027843474</v>
      </c>
      <c r="L41" s="145">
        <f t="shared" si="35"/>
        <v>0.48561217809470125</v>
      </c>
      <c r="M41" s="145">
        <f t="shared" si="35"/>
        <v>0.49125691929751336</v>
      </c>
      <c r="N41" s="311">
        <f t="shared" si="35"/>
        <v>0.5</v>
      </c>
      <c r="O41" s="311">
        <f>O15/O13</f>
        <v>0.5</v>
      </c>
      <c r="P41" s="311">
        <f>P15/P13</f>
        <v>0.5</v>
      </c>
      <c r="Q41" s="311">
        <f>Q15/Q13</f>
        <v>0.5</v>
      </c>
      <c r="R41" s="311">
        <f>R15/R13</f>
        <v>0.5</v>
      </c>
      <c r="S41" s="311">
        <f t="shared" ref="S41:V46" si="36">R41</f>
        <v>0.5</v>
      </c>
      <c r="T41" s="311">
        <f t="shared" si="36"/>
        <v>0.5</v>
      </c>
      <c r="U41" s="311">
        <f t="shared" si="36"/>
        <v>0.5</v>
      </c>
      <c r="V41" s="311">
        <f t="shared" si="36"/>
        <v>0.5</v>
      </c>
      <c r="W41" s="311">
        <f>V41</f>
        <v>0.5</v>
      </c>
      <c r="X41" s="311">
        <f>W41</f>
        <v>0.5</v>
      </c>
    </row>
    <row r="42" spans="1:24" s="22" customFormat="1" ht="14" customHeight="1" x14ac:dyDescent="0.2">
      <c r="B42" s="24" t="s">
        <v>173</v>
      </c>
      <c r="C42" s="23">
        <f t="shared" ref="C42:M42" si="37">C16/C13</f>
        <v>0.10863536975629534</v>
      </c>
      <c r="D42" s="145">
        <f t="shared" si="37"/>
        <v>0.10469797793051915</v>
      </c>
      <c r="E42" s="145">
        <f t="shared" si="37"/>
        <v>0.11372323185629461</v>
      </c>
      <c r="F42" s="145">
        <f t="shared" si="37"/>
        <v>0.11089461879067297</v>
      </c>
      <c r="G42" s="145">
        <f t="shared" si="37"/>
        <v>0.14282740038093397</v>
      </c>
      <c r="H42" s="145">
        <f t="shared" si="37"/>
        <v>0.11863427608693901</v>
      </c>
      <c r="I42" s="145">
        <f t="shared" si="37"/>
        <v>8.9455520961488066E-2</v>
      </c>
      <c r="J42" s="145">
        <f t="shared" si="37"/>
        <v>0.11637517872321003</v>
      </c>
      <c r="K42" s="145">
        <f t="shared" si="37"/>
        <v>9.7734869882971892E-2</v>
      </c>
      <c r="L42" s="145">
        <f t="shared" si="37"/>
        <v>7.6490096740643401E-2</v>
      </c>
      <c r="M42" s="145">
        <f t="shared" si="37"/>
        <v>9.5083418033135331E-2</v>
      </c>
      <c r="N42" s="146">
        <v>0.105</v>
      </c>
      <c r="O42" s="146">
        <f>N42</f>
        <v>0.105</v>
      </c>
      <c r="P42" s="146">
        <f>O42</f>
        <v>0.105</v>
      </c>
      <c r="Q42" s="146">
        <f>P42</f>
        <v>0.105</v>
      </c>
      <c r="R42" s="311">
        <f>R16/R13</f>
        <v>0.105</v>
      </c>
      <c r="S42" s="38">
        <f t="shared" si="36"/>
        <v>0.105</v>
      </c>
      <c r="T42" s="38">
        <f t="shared" si="36"/>
        <v>0.105</v>
      </c>
      <c r="U42" s="38">
        <f t="shared" si="36"/>
        <v>0.105</v>
      </c>
      <c r="V42" s="38">
        <f t="shared" si="36"/>
        <v>0.105</v>
      </c>
      <c r="W42" s="38">
        <f>V42</f>
        <v>0.105</v>
      </c>
      <c r="X42" s="38">
        <f>W42</f>
        <v>0.105</v>
      </c>
    </row>
    <row r="43" spans="1:24" ht="14" customHeight="1" x14ac:dyDescent="0.2">
      <c r="B43" s="24" t="s">
        <v>174</v>
      </c>
      <c r="C43" s="23">
        <f t="shared" ref="C43:M43" si="38">C17/C13</f>
        <v>0.19578657379921516</v>
      </c>
      <c r="D43" s="145">
        <f t="shared" si="38"/>
        <v>0.24743456778989545</v>
      </c>
      <c r="E43" s="145">
        <f t="shared" si="38"/>
        <v>0.17950375364493354</v>
      </c>
      <c r="F43" s="145">
        <f t="shared" si="38"/>
        <v>0.1795225307199376</v>
      </c>
      <c r="G43" s="145">
        <f t="shared" si="38"/>
        <v>0.18892900605249796</v>
      </c>
      <c r="H43" s="145">
        <f t="shared" si="38"/>
        <v>0.19674470960131643</v>
      </c>
      <c r="I43" s="145">
        <f t="shared" si="38"/>
        <v>0.23420430437054834</v>
      </c>
      <c r="J43" s="145">
        <f t="shared" si="38"/>
        <v>0.18113867194005509</v>
      </c>
      <c r="K43" s="145">
        <f t="shared" si="38"/>
        <v>0.17526136362185971</v>
      </c>
      <c r="L43" s="145">
        <f t="shared" si="38"/>
        <v>0.20501045440455373</v>
      </c>
      <c r="M43" s="145">
        <f t="shared" si="38"/>
        <v>0.19762267300981229</v>
      </c>
      <c r="N43" s="146">
        <f>I43+0.0025</f>
        <v>0.23670430437054835</v>
      </c>
      <c r="O43" s="146">
        <f>J43+0.0025</f>
        <v>0.18363867194005509</v>
      </c>
      <c r="P43" s="146">
        <f>K43+0.0025</f>
        <v>0.17776136362185971</v>
      </c>
      <c r="Q43" s="146">
        <f>L43+0.0025</f>
        <v>0.20751045440455373</v>
      </c>
      <c r="R43" s="311">
        <f>R17/R13</f>
        <v>0.20007495812038595</v>
      </c>
      <c r="S43" s="38">
        <f t="shared" ref="S43:X43" si="39">R43+0.0025</f>
        <v>0.20257495812038595</v>
      </c>
      <c r="T43" s="38">
        <f t="shared" si="39"/>
        <v>0.20507495812038595</v>
      </c>
      <c r="U43" s="38">
        <f t="shared" si="39"/>
        <v>0.20757495812038596</v>
      </c>
      <c r="V43" s="38">
        <f t="shared" si="39"/>
        <v>0.21007495812038596</v>
      </c>
      <c r="W43" s="38">
        <f t="shared" si="39"/>
        <v>0.21257495812038596</v>
      </c>
      <c r="X43" s="38">
        <f t="shared" si="39"/>
        <v>0.21507495812038596</v>
      </c>
    </row>
    <row r="44" spans="1:24" ht="14" customHeight="1" x14ac:dyDescent="0.2">
      <c r="B44" s="24" t="s">
        <v>171</v>
      </c>
      <c r="C44" s="23">
        <f t="shared" ref="C44:M44" si="40">C18/C13</f>
        <v>9.4412024500789178E-3</v>
      </c>
      <c r="D44" s="145">
        <f t="shared" si="40"/>
        <v>1.0306821183094236E-4</v>
      </c>
      <c r="E44" s="145">
        <f t="shared" si="40"/>
        <v>4.8629583344759458E-3</v>
      </c>
      <c r="F44" s="145">
        <f t="shared" si="40"/>
        <v>-7.5641709972813233E-4</v>
      </c>
      <c r="G44" s="145">
        <f t="shared" si="40"/>
        <v>1.0468967851645297E-2</v>
      </c>
      <c r="H44" s="145">
        <f t="shared" si="40"/>
        <v>3.8660033093128464E-3</v>
      </c>
      <c r="I44" s="145">
        <f t="shared" si="40"/>
        <v>3.8344636858523096E-3</v>
      </c>
      <c r="J44" s="145">
        <f t="shared" si="40"/>
        <v>2.7991231305768117E-3</v>
      </c>
      <c r="K44" s="145">
        <f t="shared" si="40"/>
        <v>1.5609703798531438E-3</v>
      </c>
      <c r="L44" s="145">
        <f t="shared" si="40"/>
        <v>2.2044611044686444E-2</v>
      </c>
      <c r="M44" s="145">
        <f t="shared" si="40"/>
        <v>7.8906077903206483E-3</v>
      </c>
      <c r="N44" s="146">
        <f>AVERAGE(I44,D44)</f>
        <v>1.9687659488416259E-3</v>
      </c>
      <c r="O44" s="146">
        <f>AVERAGE(J44,E44)</f>
        <v>3.8310407325263789E-3</v>
      </c>
      <c r="P44" s="146">
        <f>AVERAGE(K44,F44)</f>
        <v>4.0227664006250573E-4</v>
      </c>
      <c r="Q44" s="146">
        <f>AVERAGE(L44,G44)</f>
        <v>1.625678944816587E-2</v>
      </c>
      <c r="R44" s="311">
        <f>R18/R13</f>
        <v>5.9388932546519954E-3</v>
      </c>
      <c r="S44" s="38">
        <f t="shared" si="36"/>
        <v>5.9388932546519954E-3</v>
      </c>
      <c r="T44" s="38">
        <f t="shared" si="36"/>
        <v>5.9388932546519954E-3</v>
      </c>
      <c r="U44" s="38">
        <f t="shared" si="36"/>
        <v>5.9388932546519954E-3</v>
      </c>
      <c r="V44" s="38">
        <f t="shared" si="36"/>
        <v>5.9388932546519954E-3</v>
      </c>
      <c r="W44" s="38">
        <f t="shared" ref="W44:X47" si="41">V44</f>
        <v>5.9388932546519954E-3</v>
      </c>
      <c r="X44" s="38">
        <f t="shared" si="41"/>
        <v>5.9388932546519954E-3</v>
      </c>
    </row>
    <row r="45" spans="1:24" ht="14" customHeight="1" x14ac:dyDescent="0.2">
      <c r="B45" s="24" t="s">
        <v>90</v>
      </c>
      <c r="C45" s="23">
        <f t="shared" ref="C45:R45" si="42">C20/C13</f>
        <v>0.14099103664982116</v>
      </c>
      <c r="D45" s="145">
        <f t="shared" si="42"/>
        <v>0.15454273143644878</v>
      </c>
      <c r="E45" s="145">
        <f t="shared" si="42"/>
        <v>0.15936765871539027</v>
      </c>
      <c r="F45" s="145">
        <f t="shared" si="42"/>
        <v>0.19553727739626575</v>
      </c>
      <c r="G45" s="145">
        <f t="shared" si="42"/>
        <v>0.11405587210504965</v>
      </c>
      <c r="H45" s="145">
        <f t="shared" si="42"/>
        <v>0.15566312554543579</v>
      </c>
      <c r="I45" s="145">
        <f t="shared" si="42"/>
        <v>0.18064247253324806</v>
      </c>
      <c r="J45" s="145">
        <f t="shared" si="42"/>
        <v>0.18123551247145672</v>
      </c>
      <c r="K45" s="145">
        <f t="shared" si="42"/>
        <v>0.22114661762096882</v>
      </c>
      <c r="L45" s="145">
        <f t="shared" si="42"/>
        <v>0.18298439439256139</v>
      </c>
      <c r="M45" s="145">
        <f t="shared" si="42"/>
        <v>0.19164763336515211</v>
      </c>
      <c r="N45" s="311">
        <f t="shared" si="42"/>
        <v>0.15632692968061004</v>
      </c>
      <c r="O45" s="311">
        <f t="shared" si="42"/>
        <v>0.20753028732741857</v>
      </c>
      <c r="P45" s="311">
        <f t="shared" si="42"/>
        <v>0.2168363597380778</v>
      </c>
      <c r="Q45" s="311">
        <f t="shared" si="42"/>
        <v>0.1712327561472804</v>
      </c>
      <c r="R45" s="311">
        <f t="shared" si="42"/>
        <v>0.18898614862496207</v>
      </c>
      <c r="S45" s="311">
        <f t="shared" si="36"/>
        <v>0.18898614862496207</v>
      </c>
      <c r="T45" s="311">
        <f t="shared" si="36"/>
        <v>0.18898614862496207</v>
      </c>
      <c r="U45" s="311">
        <f t="shared" si="36"/>
        <v>0.18898614862496207</v>
      </c>
      <c r="V45" s="311">
        <f t="shared" si="36"/>
        <v>0.18898614862496207</v>
      </c>
      <c r="W45" s="311">
        <f t="shared" si="41"/>
        <v>0.18898614862496207</v>
      </c>
      <c r="X45" s="311">
        <f t="shared" si="41"/>
        <v>0.18898614862496207</v>
      </c>
    </row>
    <row r="46" spans="1:24" ht="14" customHeight="1" x14ac:dyDescent="0.2">
      <c r="B46" s="24" t="s">
        <v>122</v>
      </c>
      <c r="C46" s="23">
        <f t="shared" ref="C46:R46" si="43">C22/C13</f>
        <v>0.14416404813275605</v>
      </c>
      <c r="D46" s="145">
        <f t="shared" si="43"/>
        <v>0.15767020748919394</v>
      </c>
      <c r="E46" s="145">
        <f t="shared" si="43"/>
        <v>0.14904627776058418</v>
      </c>
      <c r="F46" s="145">
        <f t="shared" si="43"/>
        <v>0.19630337442231582</v>
      </c>
      <c r="G46" s="145">
        <f t="shared" si="43"/>
        <v>0.10768503370110385</v>
      </c>
      <c r="H46" s="145">
        <f t="shared" si="43"/>
        <v>0.15210682290902122</v>
      </c>
      <c r="I46" s="145">
        <f t="shared" si="43"/>
        <v>0.16738470330282049</v>
      </c>
      <c r="J46" s="145">
        <f t="shared" si="43"/>
        <v>0.1750438866484664</v>
      </c>
      <c r="K46" s="145">
        <f t="shared" si="43"/>
        <v>0.20707873902183443</v>
      </c>
      <c r="L46" s="145">
        <f t="shared" si="43"/>
        <v>0.17971342843430482</v>
      </c>
      <c r="M46" s="145">
        <f t="shared" si="43"/>
        <v>0.18271744017231095</v>
      </c>
      <c r="N46" s="311">
        <f t="shared" si="43"/>
        <v>0.14443537326530359</v>
      </c>
      <c r="O46" s="311">
        <f t="shared" si="43"/>
        <v>0.20197366011201168</v>
      </c>
      <c r="P46" s="311">
        <f t="shared" si="43"/>
        <v>0.20441888644919282</v>
      </c>
      <c r="Q46" s="311">
        <f t="shared" si="43"/>
        <v>0.16835768733906231</v>
      </c>
      <c r="R46" s="311">
        <f t="shared" si="43"/>
        <v>0.18105112427524142</v>
      </c>
      <c r="S46" s="311">
        <f t="shared" si="36"/>
        <v>0.18105112427524142</v>
      </c>
      <c r="T46" s="311">
        <f t="shared" si="36"/>
        <v>0.18105112427524142</v>
      </c>
      <c r="U46" s="311">
        <f t="shared" si="36"/>
        <v>0.18105112427524142</v>
      </c>
      <c r="V46" s="311">
        <f t="shared" si="36"/>
        <v>0.18105112427524142</v>
      </c>
      <c r="W46" s="311">
        <f t="shared" si="41"/>
        <v>0.18105112427524142</v>
      </c>
      <c r="X46" s="311">
        <f t="shared" si="41"/>
        <v>0.18105112427524142</v>
      </c>
    </row>
    <row r="47" spans="1:24" ht="14" customHeight="1" x14ac:dyDescent="0.2">
      <c r="B47" s="24" t="s">
        <v>16</v>
      </c>
      <c r="C47" s="23">
        <f t="shared" ref="C47:L47" si="44">C23/-C22</f>
        <v>0.33452275426697436</v>
      </c>
      <c r="D47" s="145">
        <f t="shared" si="44"/>
        <v>0.33537612992186305</v>
      </c>
      <c r="E47" s="145">
        <f t="shared" si="44"/>
        <v>0.33493665562739844</v>
      </c>
      <c r="F47" s="145">
        <f t="shared" si="44"/>
        <v>0.33499112401025671</v>
      </c>
      <c r="G47" s="145">
        <f t="shared" si="44"/>
        <v>0.31803667207184733</v>
      </c>
      <c r="H47" s="145">
        <f t="shared" si="44"/>
        <v>0.33193295698218894</v>
      </c>
      <c r="I47" s="145">
        <f t="shared" si="44"/>
        <v>0.30690647927437081</v>
      </c>
      <c r="J47" s="145">
        <f t="shared" si="44"/>
        <v>0.30494916926546506</v>
      </c>
      <c r="K47" s="145">
        <f t="shared" si="44"/>
        <v>0.2968316142095061</v>
      </c>
      <c r="L47" s="145">
        <f t="shared" si="44"/>
        <v>0.27642492998971074</v>
      </c>
      <c r="M47" s="145">
        <f>-M23/M22</f>
        <v>0.29546860596489311</v>
      </c>
      <c r="N47" s="146">
        <v>0.27600000000000002</v>
      </c>
      <c r="O47" s="146">
        <v>0.27600000000000002</v>
      </c>
      <c r="P47" s="146">
        <v>0.27600000000000002</v>
      </c>
      <c r="Q47" s="146">
        <f>L47</f>
        <v>0.27642492998971074</v>
      </c>
      <c r="R47" s="311">
        <v>0.27600000000000002</v>
      </c>
      <c r="S47" s="38">
        <f>R47</f>
        <v>0.27600000000000002</v>
      </c>
      <c r="T47" s="38">
        <f>S47</f>
        <v>0.27600000000000002</v>
      </c>
      <c r="U47" s="38">
        <f>T47</f>
        <v>0.27600000000000002</v>
      </c>
      <c r="V47" s="38">
        <f>U47</f>
        <v>0.27600000000000002</v>
      </c>
      <c r="W47" s="38">
        <f t="shared" si="41"/>
        <v>0.27600000000000002</v>
      </c>
      <c r="X47" s="38">
        <f t="shared" si="41"/>
        <v>0.27600000000000002</v>
      </c>
    </row>
    <row r="48" spans="1:24" ht="14" customHeight="1" x14ac:dyDescent="0.2">
      <c r="B48" s="24" t="s">
        <v>131</v>
      </c>
      <c r="C48" s="23">
        <f t="shared" ref="C48:V48" si="45">C24/C13</f>
        <v>9.593789368510984E-2</v>
      </c>
      <c r="D48" s="145">
        <f t="shared" si="45"/>
        <v>0.10479138349749094</v>
      </c>
      <c r="E48" s="145">
        <f t="shared" si="45"/>
        <v>9.9125215953741824E-2</v>
      </c>
      <c r="F48" s="145">
        <f t="shared" si="45"/>
        <v>0.13054348637757798</v>
      </c>
      <c r="G48" s="145">
        <f t="shared" si="45"/>
        <v>7.3437243950860057E-2</v>
      </c>
      <c r="H48" s="145">
        <f t="shared" si="45"/>
        <v>0.10161755540366364</v>
      </c>
      <c r="I48" s="145">
        <f t="shared" si="45"/>
        <v>0.1160132533277667</v>
      </c>
      <c r="J48" s="145">
        <f t="shared" si="45"/>
        <v>0.12166439883001834</v>
      </c>
      <c r="K48" s="145">
        <f t="shared" si="45"/>
        <v>0.14561122264951429</v>
      </c>
      <c r="L48" s="145">
        <f t="shared" si="45"/>
        <v>0.1300361565611412</v>
      </c>
      <c r="M48" s="145">
        <f t="shared" si="45"/>
        <v>0.12873017283912447</v>
      </c>
      <c r="N48" s="146">
        <f t="shared" si="45"/>
        <v>0.10457121024407978</v>
      </c>
      <c r="O48" s="146">
        <f t="shared" si="45"/>
        <v>0.14622892992109646</v>
      </c>
      <c r="P48" s="146">
        <f t="shared" si="45"/>
        <v>0.1479992737892156</v>
      </c>
      <c r="Q48" s="146">
        <f t="shared" si="45"/>
        <v>0.12181942540313241</v>
      </c>
      <c r="R48" s="311">
        <f t="shared" si="45"/>
        <v>0.13106155339531364</v>
      </c>
      <c r="S48" s="38">
        <f t="shared" si="45"/>
        <v>0.13211925779274497</v>
      </c>
      <c r="T48" s="38">
        <f t="shared" si="45"/>
        <v>0.13097234244412867</v>
      </c>
      <c r="U48" s="38">
        <f t="shared" si="45"/>
        <v>0.12984121703473006</v>
      </c>
      <c r="V48" s="38">
        <f t="shared" si="45"/>
        <v>0.12870601271873558</v>
      </c>
      <c r="W48" s="38">
        <f>W24/W13</f>
        <v>0.12753648679163998</v>
      </c>
      <c r="X48" s="38">
        <f>X24/X13</f>
        <v>0.12630054390456358</v>
      </c>
    </row>
    <row r="49" spans="1:28" ht="14" customHeight="1" x14ac:dyDescent="0.2">
      <c r="B49" s="24" t="s">
        <v>243</v>
      </c>
      <c r="C49" s="23">
        <f t="shared" ref="C49:M49" si="46">C25/C24</f>
        <v>-1.375016508499519E-2</v>
      </c>
      <c r="D49" s="23">
        <f t="shared" si="46"/>
        <v>-1.0696173351775012E-2</v>
      </c>
      <c r="E49" s="23">
        <f t="shared" si="46"/>
        <v>-8.5497108379770509E-3</v>
      </c>
      <c r="F49" s="23">
        <f t="shared" si="46"/>
        <v>-4.6291392131522641E-3</v>
      </c>
      <c r="G49" s="23">
        <f t="shared" si="46"/>
        <v>-8.3404971375267492E-3</v>
      </c>
      <c r="H49" s="23">
        <f t="shared" si="46"/>
        <v>-7.7158046432733215E-3</v>
      </c>
      <c r="I49" s="23">
        <f t="shared" si="46"/>
        <v>-3.2924331463792807E-3</v>
      </c>
      <c r="J49" s="23">
        <f t="shared" si="46"/>
        <v>-2.1597505640193666E-3</v>
      </c>
      <c r="K49" s="23">
        <f t="shared" si="46"/>
        <v>-4.0496298796067823E-3</v>
      </c>
      <c r="L49" s="23">
        <f t="shared" si="46"/>
        <v>-2.1168988352454453E-4</v>
      </c>
      <c r="M49" s="23">
        <f t="shared" si="46"/>
        <v>-2.3916861387278032E-3</v>
      </c>
      <c r="N49" s="38">
        <v>0</v>
      </c>
      <c r="O49" s="38">
        <v>0</v>
      </c>
      <c r="P49" s="38">
        <v>0</v>
      </c>
      <c r="Q49" s="38">
        <v>0</v>
      </c>
      <c r="R49" s="309">
        <v>0</v>
      </c>
      <c r="S49" s="38">
        <f t="shared" ref="S49:X50" si="47">R49</f>
        <v>0</v>
      </c>
      <c r="T49" s="38">
        <f t="shared" si="47"/>
        <v>0</v>
      </c>
      <c r="U49" s="38">
        <f t="shared" si="47"/>
        <v>0</v>
      </c>
      <c r="V49" s="38">
        <f t="shared" si="47"/>
        <v>0</v>
      </c>
      <c r="W49" s="38">
        <f t="shared" si="47"/>
        <v>0</v>
      </c>
      <c r="X49" s="38">
        <f t="shared" si="47"/>
        <v>0</v>
      </c>
    </row>
    <row r="50" spans="1:28" ht="14" customHeight="1" x14ac:dyDescent="0.2">
      <c r="B50" s="24" t="s">
        <v>244</v>
      </c>
      <c r="C50" s="23">
        <f t="shared" ref="C50:M50" si="48">C26/C24</f>
        <v>0.98624983491500484</v>
      </c>
      <c r="D50" s="23">
        <f t="shared" si="48"/>
        <v>0.98930382664822503</v>
      </c>
      <c r="E50" s="23">
        <f t="shared" si="48"/>
        <v>0.99145028916202294</v>
      </c>
      <c r="F50" s="23">
        <f t="shared" si="48"/>
        <v>0.99537086078684778</v>
      </c>
      <c r="G50" s="23">
        <f t="shared" si="48"/>
        <v>0.99165950286247329</v>
      </c>
      <c r="H50" s="23">
        <f t="shared" si="48"/>
        <v>0.99228419535672663</v>
      </c>
      <c r="I50" s="23">
        <f t="shared" si="48"/>
        <v>0.99670756685362072</v>
      </c>
      <c r="J50" s="23">
        <f t="shared" si="48"/>
        <v>0.9978402494359806</v>
      </c>
      <c r="K50" s="23">
        <f t="shared" si="48"/>
        <v>0.99595037012039322</v>
      </c>
      <c r="L50" s="23">
        <f t="shared" si="48"/>
        <v>0.99978831011647551</v>
      </c>
      <c r="M50" s="23">
        <f t="shared" si="48"/>
        <v>0.99760831386127224</v>
      </c>
      <c r="N50" s="309">
        <f>I50</f>
        <v>0.99670756685362072</v>
      </c>
      <c r="O50" s="309">
        <f>J50</f>
        <v>0.9978402494359806</v>
      </c>
      <c r="P50" s="309">
        <f>K50</f>
        <v>0.99595037012039322</v>
      </c>
      <c r="Q50" s="309">
        <f>L50</f>
        <v>0.99978831011647551</v>
      </c>
      <c r="R50" s="309">
        <f>M50</f>
        <v>0.99760831386127224</v>
      </c>
      <c r="S50" s="38">
        <f t="shared" si="47"/>
        <v>0.99760831386127224</v>
      </c>
      <c r="T50" s="38">
        <f t="shared" si="47"/>
        <v>0.99760831386127224</v>
      </c>
      <c r="U50" s="38">
        <f t="shared" si="47"/>
        <v>0.99760831386127224</v>
      </c>
      <c r="V50" s="38">
        <f t="shared" si="47"/>
        <v>0.99760831386127224</v>
      </c>
      <c r="W50" s="38">
        <f t="shared" si="47"/>
        <v>0.99760831386127224</v>
      </c>
      <c r="X50" s="38">
        <f t="shared" si="47"/>
        <v>0.99760831386127224</v>
      </c>
    </row>
    <row r="51" spans="1:28" ht="14" customHeight="1" x14ac:dyDescent="0.2">
      <c r="B51" s="26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51"/>
      <c r="U51" s="51"/>
      <c r="V51" s="51"/>
      <c r="W51" s="51"/>
      <c r="X51" s="51"/>
      <c r="Y51" s="87"/>
      <c r="Z51" s="87"/>
      <c r="AA51" s="87"/>
      <c r="AB51" s="86"/>
    </row>
    <row r="52" spans="1:28" ht="14" customHeight="1" x14ac:dyDescent="0.2">
      <c r="A52" s="1" t="s">
        <v>12</v>
      </c>
      <c r="B52" s="29" t="s">
        <v>246</v>
      </c>
      <c r="C52" s="26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2"/>
      <c r="V52" s="22"/>
      <c r="W52" s="22"/>
      <c r="X52" s="22"/>
    </row>
    <row r="53" spans="1:28" ht="14" customHeight="1" x14ac:dyDescent="0.2">
      <c r="B53" s="24" t="s">
        <v>256</v>
      </c>
      <c r="C53" s="23">
        <f>C9/$C$13</f>
        <v>0.70364796767980997</v>
      </c>
      <c r="D53" s="23">
        <f>D9/$D$13</f>
        <v>0.69107880208970796</v>
      </c>
      <c r="E53" s="23">
        <f t="shared" ref="E53:H56" si="49">E9/E$13</f>
        <v>0.75501084502389038</v>
      </c>
      <c r="F53" s="23">
        <f t="shared" si="49"/>
        <v>0.74355109479966697</v>
      </c>
      <c r="G53" s="23">
        <f t="shared" si="49"/>
        <v>0.71892419736569924</v>
      </c>
      <c r="H53" s="23">
        <f t="shared" si="49"/>
        <v>0.72878734319213812</v>
      </c>
      <c r="I53" s="23">
        <f>I9/$I$13</f>
        <v>0.71206878939023144</v>
      </c>
      <c r="J53" s="23">
        <f>J9/$J$13</f>
        <v>0.72620406088740463</v>
      </c>
      <c r="K53" s="23">
        <f t="shared" ref="K53:V53" si="50">K9/K$13</f>
        <v>0.68547787008591077</v>
      </c>
      <c r="L53" s="23">
        <f t="shared" si="50"/>
        <v>0.68620150251396417</v>
      </c>
      <c r="M53" s="23">
        <f t="shared" si="50"/>
        <v>0.70208889678990971</v>
      </c>
      <c r="N53" s="309">
        <f t="shared" si="50"/>
        <v>0.68020497457866091</v>
      </c>
      <c r="O53" s="309">
        <f t="shared" si="50"/>
        <v>0.69408848543009771</v>
      </c>
      <c r="P53" s="309">
        <f t="shared" si="50"/>
        <v>0.64438833348304081</v>
      </c>
      <c r="Q53" s="309">
        <f t="shared" si="50"/>
        <v>0.64235260705437847</v>
      </c>
      <c r="R53" s="309">
        <f t="shared" si="50"/>
        <v>0.66493263131152125</v>
      </c>
      <c r="S53" s="309">
        <f t="shared" si="50"/>
        <v>0.61759283673459842</v>
      </c>
      <c r="T53" s="309">
        <f t="shared" si="50"/>
        <v>0.556450885365666</v>
      </c>
      <c r="U53" s="309">
        <f t="shared" si="50"/>
        <v>0.48545411407085715</v>
      </c>
      <c r="V53" s="309">
        <f t="shared" si="50"/>
        <v>0.40785601656533893</v>
      </c>
      <c r="W53" s="309">
        <f t="shared" ref="W53:X56" si="51">W9/W$13</f>
        <v>0.32879910562542231</v>
      </c>
      <c r="X53" s="309">
        <f t="shared" si="51"/>
        <v>0.2541119550472376</v>
      </c>
    </row>
    <row r="54" spans="1:28" ht="14" customHeight="1" x14ac:dyDescent="0.2">
      <c r="B54" s="24" t="s">
        <v>248</v>
      </c>
      <c r="C54" s="23">
        <f>C10/$C$13</f>
        <v>0.11264100262094731</v>
      </c>
      <c r="D54" s="23">
        <f>D10/$D$13</f>
        <v>0.10282181438703401</v>
      </c>
      <c r="E54" s="23">
        <f t="shared" si="49"/>
        <v>7.4818259337754919E-2</v>
      </c>
      <c r="F54" s="23">
        <f t="shared" si="49"/>
        <v>7.0205739919739579E-2</v>
      </c>
      <c r="G54" s="23">
        <f t="shared" si="49"/>
        <v>6.2789629355018098E-2</v>
      </c>
      <c r="H54" s="23">
        <f t="shared" si="49"/>
        <v>7.6604321305339285E-2</v>
      </c>
      <c r="I54" s="23">
        <f>I10/$I$13</f>
        <v>8.4784581606714315E-2</v>
      </c>
      <c r="J54" s="23">
        <f>J10/$J$13</f>
        <v>8.7418009378111075E-2</v>
      </c>
      <c r="K54" s="23">
        <f t="shared" ref="K54:V54" si="52">K10/K$13</f>
        <v>0.12412586296900906</v>
      </c>
      <c r="L54" s="23">
        <f t="shared" si="52"/>
        <v>0.1346960562898174</v>
      </c>
      <c r="M54" s="23">
        <f t="shared" si="52"/>
        <v>0.10882926194589261</v>
      </c>
      <c r="N54" s="309">
        <f t="shared" si="52"/>
        <v>0.1174934375838397</v>
      </c>
      <c r="O54" s="309">
        <f t="shared" si="52"/>
        <v>0.12120930342806532</v>
      </c>
      <c r="P54" s="309">
        <f t="shared" si="52"/>
        <v>0.16927599968180082</v>
      </c>
      <c r="Q54" s="309">
        <f t="shared" si="52"/>
        <v>0.1829176371842948</v>
      </c>
      <c r="R54" s="309">
        <f t="shared" si="52"/>
        <v>0.14940377709648667</v>
      </c>
      <c r="S54" s="309">
        <f t="shared" si="52"/>
        <v>0.2027689846324047</v>
      </c>
      <c r="T54" s="309">
        <f t="shared" si="52"/>
        <v>0.2721156811383067</v>
      </c>
      <c r="U54" s="309">
        <f t="shared" si="52"/>
        <v>0.35530841898117455</v>
      </c>
      <c r="V54" s="309">
        <f t="shared" si="52"/>
        <v>0.44896049199793719</v>
      </c>
      <c r="W54" s="309">
        <f t="shared" si="51"/>
        <v>0.54701534945579267</v>
      </c>
      <c r="X54" s="309">
        <f t="shared" si="51"/>
        <v>0.64208976298055453</v>
      </c>
    </row>
    <row r="55" spans="1:28" ht="14" customHeight="1" x14ac:dyDescent="0.2">
      <c r="B55" s="24" t="s">
        <v>249</v>
      </c>
      <c r="C55" s="23">
        <f>C11/$C$13</f>
        <v>0.15083949955834866</v>
      </c>
      <c r="D55" s="23">
        <f>D11/$D$13</f>
        <v>0.1759728672932355</v>
      </c>
      <c r="E55" s="23">
        <f t="shared" si="49"/>
        <v>0.1345161656801025</v>
      </c>
      <c r="F55" s="23">
        <f t="shared" si="49"/>
        <v>0.15173284509628762</v>
      </c>
      <c r="G55" s="23">
        <f t="shared" si="49"/>
        <v>0.16000569520447663</v>
      </c>
      <c r="H55" s="23">
        <f t="shared" si="49"/>
        <v>0.15454483985777592</v>
      </c>
      <c r="I55" s="23">
        <f>I11/$I$13</f>
        <v>0.17485598553859411</v>
      </c>
      <c r="J55" s="23">
        <f>J11/$J$13</f>
        <v>0.14446756829107921</v>
      </c>
      <c r="K55" s="23">
        <f t="shared" ref="K55:V55" si="53">K11/K$13</f>
        <v>0.15979205781333961</v>
      </c>
      <c r="L55" s="23">
        <f t="shared" si="53"/>
        <v>0.15332129311469445</v>
      </c>
      <c r="M55" s="23">
        <f t="shared" si="53"/>
        <v>0.15732714477289503</v>
      </c>
      <c r="N55" s="309">
        <f t="shared" si="53"/>
        <v>0.17565752986797448</v>
      </c>
      <c r="O55" s="309">
        <f t="shared" si="53"/>
        <v>0.1452094713114985</v>
      </c>
      <c r="P55" s="309">
        <f t="shared" si="53"/>
        <v>0.15797117007895015</v>
      </c>
      <c r="Q55" s="309">
        <f t="shared" si="53"/>
        <v>0.15093595771605903</v>
      </c>
      <c r="R55" s="309">
        <f t="shared" si="53"/>
        <v>0.15657019522525042</v>
      </c>
      <c r="S55" s="309">
        <f t="shared" si="53"/>
        <v>0.15231158872871808</v>
      </c>
      <c r="T55" s="309">
        <f t="shared" si="53"/>
        <v>0.14651054940879776</v>
      </c>
      <c r="U55" s="309">
        <f t="shared" si="53"/>
        <v>0.13712123980705379</v>
      </c>
      <c r="V55" s="309">
        <f t="shared" si="53"/>
        <v>0.12419132602665708</v>
      </c>
      <c r="W55" s="309">
        <f t="shared" si="51"/>
        <v>0.10845924017810253</v>
      </c>
      <c r="X55" s="309">
        <f t="shared" si="51"/>
        <v>9.1252904437563495E-2</v>
      </c>
    </row>
    <row r="56" spans="1:28" ht="14" customHeight="1" x14ac:dyDescent="0.2">
      <c r="B56" s="24" t="s">
        <v>250</v>
      </c>
      <c r="C56" s="23">
        <f>C12/$C$13</f>
        <v>3.2871530140894015E-2</v>
      </c>
      <c r="D56" s="23">
        <f>D12/$D$13</f>
        <v>3.0126516230022483E-2</v>
      </c>
      <c r="E56" s="23">
        <f t="shared" si="49"/>
        <v>3.565472995825221E-2</v>
      </c>
      <c r="F56" s="23">
        <f t="shared" si="49"/>
        <v>3.4510320184305797E-2</v>
      </c>
      <c r="G56" s="23">
        <f t="shared" si="49"/>
        <v>5.8280478074805971E-2</v>
      </c>
      <c r="H56" s="23">
        <f t="shared" si="49"/>
        <v>4.0063495644746705E-2</v>
      </c>
      <c r="I56" s="23">
        <f>I12/$I$13</f>
        <v>2.8290643464460148E-2</v>
      </c>
      <c r="J56" s="23">
        <f>J12/$J$13</f>
        <v>4.1910361443405035E-2</v>
      </c>
      <c r="K56" s="23">
        <f t="shared" ref="K56:V56" si="54">K12/K$13</f>
        <v>3.0604209131740539E-2</v>
      </c>
      <c r="L56" s="23">
        <f t="shared" si="54"/>
        <v>2.578114808152401E-2</v>
      </c>
      <c r="M56" s="23">
        <f t="shared" si="54"/>
        <v>3.175469649130265E-2</v>
      </c>
      <c r="N56" s="309">
        <f t="shared" si="54"/>
        <v>2.6644057969524911E-2</v>
      </c>
      <c r="O56" s="309">
        <f t="shared" si="54"/>
        <v>3.9492739830338422E-2</v>
      </c>
      <c r="P56" s="309">
        <f t="shared" si="54"/>
        <v>2.8364496756208311E-2</v>
      </c>
      <c r="Q56" s="309">
        <f t="shared" si="54"/>
        <v>2.3793798045267753E-2</v>
      </c>
      <c r="R56" s="309">
        <f t="shared" si="54"/>
        <v>2.9626795149559907E-2</v>
      </c>
      <c r="S56" s="309">
        <f t="shared" si="54"/>
        <v>2.7326589904278858E-2</v>
      </c>
      <c r="T56" s="309">
        <f t="shared" si="54"/>
        <v>2.4922884087229553E-2</v>
      </c>
      <c r="U56" s="309">
        <f t="shared" si="54"/>
        <v>2.2116227140914452E-2</v>
      </c>
      <c r="V56" s="309">
        <f t="shared" si="54"/>
        <v>1.8992165410066746E-2</v>
      </c>
      <c r="W56" s="309">
        <f t="shared" si="51"/>
        <v>1.5726304740682543E-2</v>
      </c>
      <c r="X56" s="309">
        <f t="shared" si="51"/>
        <v>1.2545377534644348E-2</v>
      </c>
    </row>
    <row r="57" spans="1:28" ht="14" customHeight="1" x14ac:dyDescent="0.2">
      <c r="B57" s="24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2"/>
      <c r="V57" s="22"/>
    </row>
    <row r="58" spans="1:28" ht="14" customHeight="1" x14ac:dyDescent="0.2">
      <c r="A58" s="1" t="s">
        <v>12</v>
      </c>
      <c r="B58" s="29" t="s">
        <v>274</v>
      </c>
      <c r="C58" s="26"/>
      <c r="D58" s="26"/>
      <c r="E58" s="26"/>
      <c r="F58" s="26"/>
      <c r="G58" s="26"/>
      <c r="H58" s="26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59"/>
      <c r="V58" s="59"/>
      <c r="W58" s="26"/>
    </row>
    <row r="59" spans="1:28" ht="14" customHeight="1" x14ac:dyDescent="0.2">
      <c r="B59" s="49" t="s">
        <v>278</v>
      </c>
      <c r="C59" s="40">
        <v>7255</v>
      </c>
      <c r="D59" s="40"/>
      <c r="E59" s="40"/>
      <c r="F59" s="40"/>
      <c r="G59" s="40"/>
      <c r="H59" s="40">
        <v>7664</v>
      </c>
      <c r="I59" s="40"/>
      <c r="J59" s="40"/>
      <c r="K59" s="40"/>
      <c r="L59" s="40"/>
      <c r="M59" s="40">
        <v>8014</v>
      </c>
      <c r="N59" s="26"/>
      <c r="O59" s="26"/>
      <c r="P59" s="26"/>
      <c r="Q59" s="26"/>
      <c r="R59" s="134">
        <f>M59*(1+R60)</f>
        <v>8522.8881985999997</v>
      </c>
      <c r="S59" s="134">
        <f t="shared" ref="S59:X59" si="55">R59*(1+S60)</f>
        <v>8991.6470495229987</v>
      </c>
      <c r="T59" s="134">
        <f t="shared" si="55"/>
        <v>9306.3546962563032</v>
      </c>
      <c r="U59" s="134">
        <f t="shared" si="55"/>
        <v>9585.5453371439926</v>
      </c>
      <c r="V59" s="134">
        <f t="shared" si="55"/>
        <v>9825.1839705725924</v>
      </c>
      <c r="W59" s="134">
        <f t="shared" si="55"/>
        <v>10021.687649984044</v>
      </c>
      <c r="X59" s="134">
        <f t="shared" si="55"/>
        <v>10172.012964733804</v>
      </c>
    </row>
    <row r="60" spans="1:28" ht="14" customHeight="1" x14ac:dyDescent="0.2">
      <c r="B60" s="24" t="s">
        <v>279</v>
      </c>
      <c r="C60" s="26"/>
      <c r="D60" s="26"/>
      <c r="E60" s="26"/>
      <c r="F60" s="26"/>
      <c r="G60" s="26"/>
      <c r="H60" s="23">
        <f>H59/C59-1</f>
        <v>5.6374913852515585E-2</v>
      </c>
      <c r="I60" s="26"/>
      <c r="J60" s="26"/>
      <c r="K60" s="26"/>
      <c r="L60" s="26"/>
      <c r="M60" s="23">
        <f>M59/H59-1</f>
        <v>4.5668058455114791E-2</v>
      </c>
      <c r="N60" s="26"/>
      <c r="O60" s="26"/>
      <c r="P60" s="26"/>
      <c r="Q60" s="26"/>
      <c r="R60" s="308">
        <v>6.3499899999999998E-2</v>
      </c>
      <c r="S60" s="308">
        <v>5.5E-2</v>
      </c>
      <c r="T60" s="308">
        <v>3.5000000000000003E-2</v>
      </c>
      <c r="U60" s="308">
        <f>T60-0.005</f>
        <v>3.0000000000000002E-2</v>
      </c>
      <c r="V60" s="308">
        <f>U60-0.005</f>
        <v>2.5000000000000001E-2</v>
      </c>
      <c r="W60" s="308">
        <f>V60-0.005</f>
        <v>0.02</v>
      </c>
      <c r="X60" s="308">
        <f>W60-0.005</f>
        <v>1.4999999999999999E-2</v>
      </c>
    </row>
    <row r="61" spans="1:28" ht="14" customHeight="1" x14ac:dyDescent="0.2">
      <c r="B61" s="24" t="s">
        <v>275</v>
      </c>
      <c r="C61" s="306">
        <f>C9/C59</f>
        <v>267.91578221915921</v>
      </c>
      <c r="D61" s="306"/>
      <c r="E61" s="306"/>
      <c r="F61" s="306"/>
      <c r="G61" s="306"/>
      <c r="H61" s="306">
        <f>H9/H59</f>
        <v>271.42849686847597</v>
      </c>
      <c r="I61" s="306"/>
      <c r="J61" s="306"/>
      <c r="K61" s="306"/>
      <c r="L61" s="306"/>
      <c r="M61" s="306">
        <f>M9/M59</f>
        <v>272.02957324681807</v>
      </c>
      <c r="N61" s="26"/>
      <c r="O61" s="26"/>
      <c r="P61" s="26"/>
      <c r="Q61" s="26"/>
      <c r="R61" s="89">
        <f>(1+R62)*M61</f>
        <v>272.63198070430906</v>
      </c>
      <c r="S61" s="89">
        <f t="shared" ref="S61:X61" si="56">R61*(1+S62)</f>
        <v>273.23572218861381</v>
      </c>
      <c r="T61" s="89">
        <f t="shared" si="56"/>
        <v>273.8408006539247</v>
      </c>
      <c r="U61" s="89">
        <f t="shared" si="56"/>
        <v>274.44721906097618</v>
      </c>
      <c r="V61" s="89">
        <f t="shared" si="56"/>
        <v>275.05498037705922</v>
      </c>
      <c r="W61" s="89">
        <f t="shared" si="56"/>
        <v>275.66408757603585</v>
      </c>
      <c r="X61" s="89">
        <f t="shared" si="56"/>
        <v>276.27454363835369</v>
      </c>
    </row>
    <row r="62" spans="1:28" ht="14" customHeight="1" x14ac:dyDescent="0.2">
      <c r="B62" s="24" t="s">
        <v>280</v>
      </c>
      <c r="C62" s="306"/>
      <c r="D62" s="306"/>
      <c r="E62" s="306"/>
      <c r="F62" s="306"/>
      <c r="G62" s="306"/>
      <c r="H62" s="22">
        <f>H61/C61-1</f>
        <v>1.3111264369052078E-2</v>
      </c>
      <c r="I62" s="22"/>
      <c r="J62" s="22"/>
      <c r="K62" s="22"/>
      <c r="L62" s="22"/>
      <c r="M62" s="22">
        <f>M61/H61-1</f>
        <v>2.2144925285179085E-3</v>
      </c>
      <c r="N62" s="26"/>
      <c r="O62" s="26"/>
      <c r="P62" s="26"/>
      <c r="Q62" s="26"/>
      <c r="R62" s="308">
        <f>M62</f>
        <v>2.2144925285179085E-3</v>
      </c>
      <c r="S62" s="308">
        <f t="shared" ref="S62:X62" si="57">R62</f>
        <v>2.2144925285179085E-3</v>
      </c>
      <c r="T62" s="308">
        <f t="shared" si="57"/>
        <v>2.2144925285179085E-3</v>
      </c>
      <c r="U62" s="308">
        <f t="shared" si="57"/>
        <v>2.2144925285179085E-3</v>
      </c>
      <c r="V62" s="308">
        <f t="shared" si="57"/>
        <v>2.2144925285179085E-3</v>
      </c>
      <c r="W62" s="308">
        <f t="shared" si="57"/>
        <v>2.2144925285179085E-3</v>
      </c>
      <c r="X62" s="308">
        <f t="shared" si="57"/>
        <v>2.2144925285179085E-3</v>
      </c>
    </row>
    <row r="63" spans="1:28" ht="14" customHeight="1" x14ac:dyDescent="0.2">
      <c r="B63" s="24" t="s">
        <v>276</v>
      </c>
      <c r="C63" s="26">
        <v>2843</v>
      </c>
      <c r="D63" s="26"/>
      <c r="E63" s="26"/>
      <c r="F63" s="26"/>
      <c r="G63" s="26"/>
      <c r="H63" s="26">
        <v>2954</v>
      </c>
      <c r="I63" s="26"/>
      <c r="J63" s="26"/>
      <c r="K63" s="26"/>
      <c r="L63" s="26"/>
      <c r="M63" s="26">
        <v>3115</v>
      </c>
      <c r="N63" s="23"/>
      <c r="O63" s="23"/>
      <c r="P63" s="23"/>
      <c r="Q63" s="23"/>
      <c r="R63" s="23"/>
      <c r="S63" s="23"/>
      <c r="T63" s="38"/>
      <c r="U63" s="39"/>
      <c r="V63" s="39"/>
    </row>
    <row r="64" spans="1:28" ht="14" customHeight="1" x14ac:dyDescent="0.2">
      <c r="B64" s="24" t="s">
        <v>277</v>
      </c>
      <c r="C64" s="306">
        <f>'Income Statement'!C13/'Income Statement'!C63</f>
        <v>971.63559620119588</v>
      </c>
      <c r="D64" s="306"/>
      <c r="E64" s="306"/>
      <c r="F64" s="306"/>
      <c r="G64" s="306"/>
      <c r="H64" s="306">
        <f>'Income Statement'!H13/'Income Statement'!H63</f>
        <v>966.2725118483412</v>
      </c>
      <c r="I64" s="306"/>
      <c r="J64" s="306"/>
      <c r="K64" s="306"/>
      <c r="L64" s="306"/>
      <c r="M64" s="306">
        <f>'Income Statement'!M13/'Income Statement'!M63</f>
        <v>996.81669341894064</v>
      </c>
      <c r="N64" s="23"/>
      <c r="O64" s="23"/>
      <c r="P64" s="23"/>
      <c r="Q64" s="23"/>
      <c r="R64" s="23"/>
      <c r="S64" s="23"/>
      <c r="T64" s="38"/>
      <c r="U64" s="39"/>
      <c r="V64" s="39"/>
    </row>
    <row r="65" spans="2:22" ht="14" customHeight="1" x14ac:dyDescent="0.2">
      <c r="B65" s="26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38"/>
      <c r="U65" s="39"/>
      <c r="V65" s="39"/>
    </row>
    <row r="66" spans="2:22" ht="14" customHeight="1" x14ac:dyDescent="0.2">
      <c r="B66" s="26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2"/>
      <c r="V66" s="22"/>
    </row>
    <row r="67" spans="2:22" ht="14" customHeight="1" x14ac:dyDescent="0.2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</row>
    <row r="68" spans="2:22" ht="14" customHeight="1" x14ac:dyDescent="0.2">
      <c r="B68" s="29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</row>
    <row r="69" spans="2:22" ht="14" customHeight="1" x14ac:dyDescent="0.2">
      <c r="B69" s="26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39"/>
    </row>
    <row r="70" spans="2:22" ht="14" customHeight="1" x14ac:dyDescent="0.2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</row>
    <row r="71" spans="2:22" ht="14" customHeight="1" x14ac:dyDescent="0.2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</row>
    <row r="72" spans="2:22" ht="14" customHeight="1" x14ac:dyDescent="0.2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</row>
    <row r="73" spans="2:22" ht="14" customHeight="1" x14ac:dyDescent="0.2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</row>
  </sheetData>
  <mergeCells count="4">
    <mergeCell ref="C1:E1"/>
    <mergeCell ref="C6:M6"/>
    <mergeCell ref="N6:R6"/>
    <mergeCell ref="S6:X6"/>
  </mergeCells>
  <pageMargins left="0.7" right="0.7" top="0.75" bottom="0.75" header="0.3" footer="0.3"/>
  <pageSetup scale="31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/>
  <dimension ref="A1:T66"/>
  <sheetViews>
    <sheetView showGridLines="0" topLeftCell="A7" workbookViewId="0">
      <selection activeCell="P17" sqref="P17"/>
    </sheetView>
  </sheetViews>
  <sheetFormatPr baseColWidth="10" defaultColWidth="8.5" defaultRowHeight="14" customHeight="1" x14ac:dyDescent="0.2"/>
  <cols>
    <col min="1" max="1" width="1.5" style="1" customWidth="1"/>
    <col min="2" max="2" width="40.5" style="1" customWidth="1"/>
    <col min="3" max="10" width="10.5" style="1" customWidth="1"/>
    <col min="11" max="26" width="10" style="1" customWidth="1"/>
    <col min="27" max="16384" width="8.5" style="1"/>
  </cols>
  <sheetData>
    <row r="1" spans="2:12" ht="21" x14ac:dyDescent="0.3">
      <c r="B1" s="8" t="s">
        <v>188</v>
      </c>
      <c r="C1" s="476" t="s">
        <v>126</v>
      </c>
      <c r="D1" s="477"/>
      <c r="E1" s="478"/>
    </row>
    <row r="2" spans="2:12" ht="14" customHeight="1" x14ac:dyDescent="0.2">
      <c r="B2" s="1" t="s">
        <v>163</v>
      </c>
      <c r="C2" s="136" t="s">
        <v>123</v>
      </c>
      <c r="D2" s="137" t="s">
        <v>124</v>
      </c>
      <c r="E2" s="138" t="s">
        <v>125</v>
      </c>
      <c r="G2" s="139" t="s">
        <v>130</v>
      </c>
    </row>
    <row r="4" spans="2:12" ht="14" customHeight="1" x14ac:dyDescent="0.2">
      <c r="B4" s="9" t="s">
        <v>9</v>
      </c>
    </row>
    <row r="5" spans="2:12" ht="14" customHeight="1" x14ac:dyDescent="0.2">
      <c r="B5" s="10" t="s">
        <v>172</v>
      </c>
    </row>
    <row r="6" spans="2:12" ht="14" customHeight="1" x14ac:dyDescent="0.2">
      <c r="C6" s="479" t="s">
        <v>7</v>
      </c>
      <c r="D6" s="479"/>
      <c r="E6" s="482"/>
      <c r="F6" s="260" t="s">
        <v>116</v>
      </c>
      <c r="G6" s="483" t="s">
        <v>8</v>
      </c>
      <c r="H6" s="481"/>
      <c r="I6" s="481"/>
      <c r="J6" s="481"/>
      <c r="K6" s="481"/>
      <c r="L6" s="481"/>
    </row>
    <row r="7" spans="2:12" ht="14" customHeight="1" x14ac:dyDescent="0.2">
      <c r="B7" s="1" t="s">
        <v>175</v>
      </c>
      <c r="C7" s="70">
        <v>2014</v>
      </c>
      <c r="D7" s="71">
        <v>2015</v>
      </c>
      <c r="E7" s="71">
        <v>2016</v>
      </c>
      <c r="F7" s="264">
        <v>2017</v>
      </c>
      <c r="G7" s="13">
        <v>2018</v>
      </c>
      <c r="H7" s="12">
        <v>2019</v>
      </c>
      <c r="I7" s="12">
        <v>2020</v>
      </c>
      <c r="J7" s="56">
        <v>2021</v>
      </c>
      <c r="K7" s="56">
        <v>2022</v>
      </c>
      <c r="L7" s="56">
        <v>2023</v>
      </c>
    </row>
    <row r="8" spans="2:12" ht="14" customHeight="1" x14ac:dyDescent="0.2">
      <c r="B8" s="26"/>
      <c r="C8" s="26"/>
      <c r="D8" s="26"/>
      <c r="E8" s="245"/>
      <c r="F8" s="245"/>
      <c r="G8" s="26"/>
      <c r="H8" s="26"/>
      <c r="I8" s="26"/>
      <c r="J8" s="26"/>
      <c r="K8" s="26"/>
    </row>
    <row r="9" spans="2:12" ht="14" customHeight="1" x14ac:dyDescent="0.2">
      <c r="B9" s="24" t="s">
        <v>176</v>
      </c>
      <c r="C9" s="149"/>
      <c r="D9" s="265">
        <f>'Cash Flows'!D53</f>
        <v>182753</v>
      </c>
      <c r="E9" s="266">
        <f>'Cash Flows'!E53</f>
        <v>457784</v>
      </c>
      <c r="F9" s="266">
        <f>'Cash Flows'!F53</f>
        <v>804824.35191934276</v>
      </c>
      <c r="G9" s="301">
        <f>'Cash Flows'!G53</f>
        <v>1184025.1249729379</v>
      </c>
      <c r="H9" s="301">
        <f>'Cash Flows'!H53</f>
        <v>1604134.7995140371</v>
      </c>
      <c r="I9" s="301">
        <f>'Cash Flows'!I53</f>
        <v>2100204.6470760647</v>
      </c>
      <c r="J9" s="301">
        <f>'Cash Flows'!J53</f>
        <v>2717212.2819904564</v>
      </c>
      <c r="K9" s="301">
        <f>'Cash Flows'!K53</f>
        <v>3519184.8630892676</v>
      </c>
      <c r="L9" s="301">
        <f>'Cash Flows'!L53</f>
        <v>4601771.9111890243</v>
      </c>
    </row>
    <row r="10" spans="2:12" ht="14" customHeight="1" x14ac:dyDescent="0.2">
      <c r="B10" s="24" t="s">
        <v>177</v>
      </c>
      <c r="C10" s="161"/>
      <c r="D10" s="161">
        <v>139172</v>
      </c>
      <c r="E10" s="126">
        <v>0</v>
      </c>
      <c r="F10" s="295">
        <f t="shared" ref="F10:H12" si="0">E10</f>
        <v>0</v>
      </c>
      <c r="G10" s="126">
        <f t="shared" si="0"/>
        <v>0</v>
      </c>
      <c r="H10" s="126">
        <f t="shared" si="0"/>
        <v>0</v>
      </c>
      <c r="I10" s="126">
        <f t="shared" ref="I10:L12" si="1">H10</f>
        <v>0</v>
      </c>
      <c r="J10" s="126">
        <f t="shared" si="1"/>
        <v>0</v>
      </c>
      <c r="K10" s="126">
        <f t="shared" si="1"/>
        <v>0</v>
      </c>
      <c r="L10" s="126">
        <f t="shared" si="1"/>
        <v>0</v>
      </c>
    </row>
    <row r="11" spans="2:12" ht="14" customHeight="1" x14ac:dyDescent="0.2">
      <c r="B11" s="24" t="s">
        <v>178</v>
      </c>
      <c r="C11" s="161"/>
      <c r="D11" s="161">
        <v>8626</v>
      </c>
      <c r="E11" s="247">
        <v>16276</v>
      </c>
      <c r="F11" s="55">
        <f t="shared" si="0"/>
        <v>16276</v>
      </c>
      <c r="G11" s="160">
        <f t="shared" si="0"/>
        <v>16276</v>
      </c>
      <c r="H11" s="160">
        <f t="shared" si="0"/>
        <v>16276</v>
      </c>
      <c r="I11" s="160">
        <f t="shared" si="1"/>
        <v>16276</v>
      </c>
      <c r="J11" s="160">
        <f t="shared" si="1"/>
        <v>16276</v>
      </c>
      <c r="K11" s="160">
        <f t="shared" si="1"/>
        <v>16276</v>
      </c>
      <c r="L11" s="160">
        <f t="shared" si="1"/>
        <v>16276</v>
      </c>
    </row>
    <row r="12" spans="2:12" ht="14" customHeight="1" x14ac:dyDescent="0.2">
      <c r="B12" s="24" t="s">
        <v>137</v>
      </c>
      <c r="C12" s="161"/>
      <c r="D12" s="161">
        <v>46477</v>
      </c>
      <c r="E12" s="247">
        <v>53729</v>
      </c>
      <c r="F12" s="252">
        <f t="shared" si="0"/>
        <v>53729</v>
      </c>
      <c r="G12" s="160">
        <f t="shared" si="0"/>
        <v>53729</v>
      </c>
      <c r="H12" s="160">
        <f t="shared" si="0"/>
        <v>53729</v>
      </c>
      <c r="I12" s="160">
        <f t="shared" si="1"/>
        <v>53729</v>
      </c>
      <c r="J12" s="160">
        <f t="shared" si="1"/>
        <v>53729</v>
      </c>
      <c r="K12" s="160">
        <f t="shared" si="1"/>
        <v>53729</v>
      </c>
      <c r="L12" s="160">
        <f t="shared" si="1"/>
        <v>53729</v>
      </c>
    </row>
    <row r="13" spans="2:12" ht="14" customHeight="1" x14ac:dyDescent="0.2">
      <c r="B13" s="24" t="s">
        <v>179</v>
      </c>
      <c r="C13" s="161"/>
      <c r="D13" s="161">
        <v>15369</v>
      </c>
      <c r="E13" s="247">
        <v>1312</v>
      </c>
      <c r="F13" s="173">
        <f>F$60*F61</f>
        <v>8929.4001224455915</v>
      </c>
      <c r="G13" s="160">
        <f t="shared" ref="G13:L13" si="2">G$60*G61</f>
        <v>10165.080407799558</v>
      </c>
      <c r="H13" s="160">
        <f t="shared" si="2"/>
        <v>11702.731987579449</v>
      </c>
      <c r="I13" s="160">
        <f t="shared" si="2"/>
        <v>13809.424920634065</v>
      </c>
      <c r="J13" s="160">
        <f t="shared" si="2"/>
        <v>16931.275278648573</v>
      </c>
      <c r="K13" s="160">
        <f t="shared" si="2"/>
        <v>21469.739096228852</v>
      </c>
      <c r="L13" s="160">
        <f t="shared" si="2"/>
        <v>28259.144990872817</v>
      </c>
    </row>
    <row r="14" spans="2:12" ht="14" customHeight="1" x14ac:dyDescent="0.2">
      <c r="B14" s="24" t="s">
        <v>180</v>
      </c>
      <c r="C14" s="161"/>
      <c r="D14" s="161">
        <v>1173825</v>
      </c>
      <c r="E14" s="247">
        <v>790377</v>
      </c>
      <c r="F14" s="173">
        <f t="shared" ref="F14:L15" si="3">F$60*F62</f>
        <v>1151519.9584916788</v>
      </c>
      <c r="G14" s="160">
        <f t="shared" si="3"/>
        <v>1310871.1457369511</v>
      </c>
      <c r="H14" s="160">
        <f t="shared" si="3"/>
        <v>1509164.0275703012</v>
      </c>
      <c r="I14" s="160">
        <f t="shared" si="3"/>
        <v>1780839.4957496079</v>
      </c>
      <c r="J14" s="160">
        <f t="shared" si="3"/>
        <v>2183427.9054280771</v>
      </c>
      <c r="K14" s="160">
        <f t="shared" si="3"/>
        <v>2768700.3308062661</v>
      </c>
      <c r="L14" s="160">
        <f t="shared" si="3"/>
        <v>3644250.3438840024</v>
      </c>
    </row>
    <row r="15" spans="2:12" ht="14" customHeight="1" x14ac:dyDescent="0.2">
      <c r="B15" s="24" t="s">
        <v>181</v>
      </c>
      <c r="C15" s="161"/>
      <c r="D15" s="161">
        <v>158165</v>
      </c>
      <c r="E15" s="247">
        <v>243977</v>
      </c>
      <c r="F15" s="173">
        <f t="shared" si="3"/>
        <v>248687.15169476732</v>
      </c>
      <c r="G15" s="160">
        <f t="shared" si="3"/>
        <v>283101.31237255008</v>
      </c>
      <c r="H15" s="160">
        <f t="shared" si="3"/>
        <v>325925.48716937733</v>
      </c>
      <c r="I15" s="160">
        <f t="shared" si="3"/>
        <v>384597.6776673611</v>
      </c>
      <c r="J15" s="160">
        <f t="shared" si="3"/>
        <v>471542.38424405403</v>
      </c>
      <c r="K15" s="160">
        <f t="shared" si="3"/>
        <v>597940.30844802409</v>
      </c>
      <c r="L15" s="160">
        <f t="shared" si="3"/>
        <v>787027.81606172048</v>
      </c>
    </row>
    <row r="16" spans="2:12" ht="14" customHeight="1" x14ac:dyDescent="0.2">
      <c r="B16" s="20" t="s">
        <v>136</v>
      </c>
      <c r="C16" s="162"/>
      <c r="D16" s="162">
        <v>295436</v>
      </c>
      <c r="E16" s="269">
        <v>323998</v>
      </c>
      <c r="F16" s="269">
        <f>F50*F46/F47</f>
        <v>351878.03197477822</v>
      </c>
      <c r="G16" s="179">
        <f t="shared" ref="G16:L16" si="4">G50*G46/G47</f>
        <v>400572.09215777076</v>
      </c>
      <c r="H16" s="179">
        <f t="shared" si="4"/>
        <v>461165.83914372948</v>
      </c>
      <c r="I16" s="179">
        <f t="shared" si="4"/>
        <v>544183.61784031265</v>
      </c>
      <c r="J16" s="179">
        <f t="shared" si="4"/>
        <v>667205.38246441167</v>
      </c>
      <c r="K16" s="179">
        <f t="shared" si="4"/>
        <v>846051.18334913021</v>
      </c>
      <c r="L16" s="179">
        <f t="shared" si="4"/>
        <v>1113599.1430916896</v>
      </c>
    </row>
    <row r="17" spans="1:15" s="9" customFormat="1" ht="14" customHeight="1" x14ac:dyDescent="0.2">
      <c r="A17" s="9" t="s">
        <v>12</v>
      </c>
      <c r="B17" s="27" t="s">
        <v>182</v>
      </c>
      <c r="C17" s="163"/>
      <c r="D17" s="163">
        <f t="shared" ref="D17:L17" si="5">SUM(D9:D16)</f>
        <v>2019823</v>
      </c>
      <c r="E17" s="248">
        <f t="shared" si="5"/>
        <v>1887453</v>
      </c>
      <c r="F17" s="248">
        <f t="shared" si="5"/>
        <v>2635843.8942030123</v>
      </c>
      <c r="G17" s="116">
        <f t="shared" si="5"/>
        <v>3258739.755648009</v>
      </c>
      <c r="H17" s="116">
        <f t="shared" si="5"/>
        <v>3982097.8853850248</v>
      </c>
      <c r="I17" s="116">
        <f t="shared" si="5"/>
        <v>4893639.8632539799</v>
      </c>
      <c r="J17" s="116">
        <f t="shared" si="5"/>
        <v>6126324.2294056471</v>
      </c>
      <c r="K17" s="116">
        <f t="shared" si="5"/>
        <v>7823351.4247889165</v>
      </c>
      <c r="L17" s="116">
        <f t="shared" si="5"/>
        <v>10244913.35921731</v>
      </c>
    </row>
    <row r="18" spans="1:15" ht="14" customHeight="1" x14ac:dyDescent="0.2">
      <c r="B18" s="24" t="s">
        <v>183</v>
      </c>
      <c r="C18" s="161"/>
      <c r="D18" s="161">
        <v>122622</v>
      </c>
      <c r="E18" s="160">
        <v>119357</v>
      </c>
      <c r="F18" s="55">
        <f>E18</f>
        <v>119357</v>
      </c>
      <c r="G18" s="160">
        <f t="shared" ref="G18:L18" si="6">F18</f>
        <v>119357</v>
      </c>
      <c r="H18" s="160">
        <f t="shared" si="6"/>
        <v>119357</v>
      </c>
      <c r="I18" s="160">
        <f t="shared" si="6"/>
        <v>119357</v>
      </c>
      <c r="J18" s="160">
        <f t="shared" si="6"/>
        <v>119357</v>
      </c>
      <c r="K18" s="160">
        <f t="shared" si="6"/>
        <v>119357</v>
      </c>
      <c r="L18" s="160">
        <f t="shared" si="6"/>
        <v>119357</v>
      </c>
    </row>
    <row r="19" spans="1:15" ht="14" customHeight="1" x14ac:dyDescent="0.2">
      <c r="B19" s="24" t="s">
        <v>184</v>
      </c>
      <c r="C19" s="161"/>
      <c r="D19" s="161">
        <v>11836</v>
      </c>
      <c r="E19" s="160">
        <v>33935</v>
      </c>
      <c r="F19" s="55">
        <f>E19</f>
        <v>33935</v>
      </c>
      <c r="G19" s="160">
        <f t="shared" ref="G19:L19" si="7">F19</f>
        <v>33935</v>
      </c>
      <c r="H19" s="160">
        <f t="shared" si="7"/>
        <v>33935</v>
      </c>
      <c r="I19" s="160">
        <f t="shared" si="7"/>
        <v>33935</v>
      </c>
      <c r="J19" s="160">
        <f t="shared" si="7"/>
        <v>33935</v>
      </c>
      <c r="K19" s="160">
        <f t="shared" si="7"/>
        <v>33935</v>
      </c>
      <c r="L19" s="160">
        <f t="shared" si="7"/>
        <v>33935</v>
      </c>
    </row>
    <row r="20" spans="1:15" ht="14" customHeight="1" x14ac:dyDescent="0.2">
      <c r="B20" s="24" t="s">
        <v>185</v>
      </c>
      <c r="C20" s="161"/>
      <c r="D20" s="161">
        <v>626130</v>
      </c>
      <c r="E20" s="160">
        <v>669283</v>
      </c>
      <c r="F20" s="300">
        <f>'Fixed Asset'!F12</f>
        <v>596691.19465091941</v>
      </c>
      <c r="G20" s="278">
        <f>'Fixed Asset'!G12</f>
        <v>559525.56737687706</v>
      </c>
      <c r="H20" s="278">
        <f>'Fixed Asset'!H12</f>
        <v>555702.11260410573</v>
      </c>
      <c r="I20" s="278">
        <f>'Fixed Asset'!I12</f>
        <v>579708.30480621126</v>
      </c>
      <c r="J20" s="278">
        <f>'Fixed Asset'!J12</f>
        <v>631963.43968695519</v>
      </c>
      <c r="K20" s="278">
        <f>'Fixed Asset'!K12</f>
        <v>718024.54203679075</v>
      </c>
      <c r="L20" s="278">
        <f>'Fixed Asset'!L12</f>
        <v>848670.14221362118</v>
      </c>
    </row>
    <row r="21" spans="1:15" ht="14" customHeight="1" x14ac:dyDescent="0.2">
      <c r="B21" s="24" t="s">
        <v>186</v>
      </c>
      <c r="C21" s="161"/>
      <c r="D21" s="161">
        <v>307810</v>
      </c>
      <c r="E21" s="160">
        <v>354394</v>
      </c>
      <c r="F21" s="55">
        <f>E21</f>
        <v>354394</v>
      </c>
      <c r="G21" s="160">
        <f t="shared" ref="G21:L21" si="8">F21</f>
        <v>354394</v>
      </c>
      <c r="H21" s="160">
        <f t="shared" si="8"/>
        <v>354394</v>
      </c>
      <c r="I21" s="160">
        <f t="shared" si="8"/>
        <v>354394</v>
      </c>
      <c r="J21" s="160">
        <f t="shared" si="8"/>
        <v>354394</v>
      </c>
      <c r="K21" s="160">
        <f t="shared" si="8"/>
        <v>354394</v>
      </c>
      <c r="L21" s="160">
        <f t="shared" si="8"/>
        <v>354394</v>
      </c>
    </row>
    <row r="22" spans="1:15" ht="14" customHeight="1" x14ac:dyDescent="0.2">
      <c r="B22" s="20" t="s">
        <v>187</v>
      </c>
      <c r="C22" s="162"/>
      <c r="D22" s="162">
        <v>787178</v>
      </c>
      <c r="E22" s="121">
        <v>785182</v>
      </c>
      <c r="F22" s="167">
        <f>E22</f>
        <v>785182</v>
      </c>
      <c r="G22" s="121">
        <f t="shared" ref="G22:L22" si="9">F22</f>
        <v>785182</v>
      </c>
      <c r="H22" s="121">
        <f t="shared" si="9"/>
        <v>785182</v>
      </c>
      <c r="I22" s="121">
        <f t="shared" si="9"/>
        <v>785182</v>
      </c>
      <c r="J22" s="121">
        <f t="shared" si="9"/>
        <v>785182</v>
      </c>
      <c r="K22" s="121">
        <f t="shared" si="9"/>
        <v>785182</v>
      </c>
      <c r="L22" s="121">
        <f t="shared" si="9"/>
        <v>785182</v>
      </c>
    </row>
    <row r="23" spans="1:15" s="9" customFormat="1" ht="14" customHeight="1" x14ac:dyDescent="0.2">
      <c r="B23" s="262" t="s">
        <v>199</v>
      </c>
      <c r="C23" s="263"/>
      <c r="D23" s="263">
        <f>SUM(D18:D22)</f>
        <v>1855576</v>
      </c>
      <c r="E23" s="263">
        <f>SUM(E18:E22)</f>
        <v>1962151</v>
      </c>
      <c r="F23" s="297">
        <f t="shared" ref="F23:L23" si="10">SUM(F18:F22)</f>
        <v>1889559.1946509194</v>
      </c>
      <c r="G23" s="164">
        <f t="shared" si="10"/>
        <v>1852393.5673768772</v>
      </c>
      <c r="H23" s="164">
        <f t="shared" si="10"/>
        <v>1848570.1126041058</v>
      </c>
      <c r="I23" s="164">
        <f t="shared" si="10"/>
        <v>1872576.3048062113</v>
      </c>
      <c r="J23" s="164">
        <f t="shared" si="10"/>
        <v>1924831.4396869552</v>
      </c>
      <c r="K23" s="164">
        <f t="shared" si="10"/>
        <v>2010892.5420367909</v>
      </c>
      <c r="L23" s="163">
        <f t="shared" si="10"/>
        <v>2141538.1422136212</v>
      </c>
      <c r="O23" s="475">
        <f>E17/E34</f>
        <v>0.53623885909394253</v>
      </c>
    </row>
    <row r="24" spans="1:15" s="9" customFormat="1" ht="14" customHeight="1" x14ac:dyDescent="0.2">
      <c r="A24" s="9" t="s">
        <v>12</v>
      </c>
      <c r="B24" s="27" t="s">
        <v>11</v>
      </c>
      <c r="C24" s="150"/>
      <c r="D24" s="150">
        <f>D17+D23</f>
        <v>3875399</v>
      </c>
      <c r="E24" s="249">
        <f>E23+E17</f>
        <v>3849604</v>
      </c>
      <c r="F24" s="294">
        <f>F23+F17</f>
        <v>4525403.088853932</v>
      </c>
      <c r="G24" s="150">
        <f t="shared" ref="G24:L24" si="11">G23+G17</f>
        <v>5111133.3230248857</v>
      </c>
      <c r="H24" s="150">
        <f t="shared" si="11"/>
        <v>5830667.9979891311</v>
      </c>
      <c r="I24" s="150">
        <f t="shared" si="11"/>
        <v>6766216.168060191</v>
      </c>
      <c r="J24" s="150">
        <f t="shared" si="11"/>
        <v>8051155.6690926021</v>
      </c>
      <c r="K24" s="150">
        <f t="shared" si="11"/>
        <v>9834243.9668257069</v>
      </c>
      <c r="L24" s="181">
        <f t="shared" si="11"/>
        <v>12386451.501430932</v>
      </c>
    </row>
    <row r="25" spans="1:15" ht="14" customHeight="1" x14ac:dyDescent="0.2">
      <c r="B25" s="33"/>
      <c r="C25" s="134"/>
      <c r="D25" s="134"/>
      <c r="E25" s="250"/>
      <c r="F25" s="250"/>
      <c r="G25" s="25"/>
      <c r="H25" s="25"/>
      <c r="I25" s="25"/>
      <c r="J25" s="25"/>
      <c r="K25" s="26"/>
    </row>
    <row r="26" spans="1:15" ht="14" customHeight="1" x14ac:dyDescent="0.2">
      <c r="B26" s="24" t="s">
        <v>189</v>
      </c>
      <c r="C26" s="134"/>
      <c r="D26" s="161">
        <v>125232</v>
      </c>
      <c r="E26" s="247">
        <v>41595</v>
      </c>
      <c r="F26" s="247">
        <f t="shared" ref="F26:L26" si="12">F64*F65</f>
        <v>95742.234461222848</v>
      </c>
      <c r="G26" s="160">
        <f t="shared" si="12"/>
        <v>108991.36541931328</v>
      </c>
      <c r="H26" s="160">
        <f t="shared" si="12"/>
        <v>125478.27339210057</v>
      </c>
      <c r="I26" s="160">
        <f t="shared" si="12"/>
        <v>148066.51963131991</v>
      </c>
      <c r="J26" s="160">
        <f t="shared" si="12"/>
        <v>181539.42092718169</v>
      </c>
      <c r="K26" s="160">
        <f t="shared" si="12"/>
        <v>230201.44311882919</v>
      </c>
      <c r="L26" s="160">
        <f t="shared" si="12"/>
        <v>302998.3703596011</v>
      </c>
    </row>
    <row r="27" spans="1:15" ht="14" customHeight="1" x14ac:dyDescent="0.2">
      <c r="B27" s="24" t="s">
        <v>190</v>
      </c>
      <c r="C27" s="134"/>
      <c r="D27" s="161">
        <v>507499</v>
      </c>
      <c r="E27" s="247">
        <v>614888</v>
      </c>
      <c r="F27" s="247">
        <f t="shared" ref="F27:L27" si="13">F64*F66</f>
        <v>637119.16383435577</v>
      </c>
      <c r="G27" s="160">
        <f t="shared" si="13"/>
        <v>725285.84685624926</v>
      </c>
      <c r="H27" s="160">
        <f t="shared" si="13"/>
        <v>834998.40036982484</v>
      </c>
      <c r="I27" s="160">
        <f t="shared" si="13"/>
        <v>985312.46643901314</v>
      </c>
      <c r="J27" s="160">
        <f t="shared" si="13"/>
        <v>1208058.7497771867</v>
      </c>
      <c r="K27" s="160">
        <f t="shared" si="13"/>
        <v>1531881.429117183</v>
      </c>
      <c r="L27" s="160">
        <f t="shared" si="13"/>
        <v>2016310.4553912231</v>
      </c>
      <c r="M27" s="306">
        <f>E9+E37+E60</f>
        <v>1823255</v>
      </c>
    </row>
    <row r="28" spans="1:15" ht="14" customHeight="1" x14ac:dyDescent="0.2">
      <c r="B28" s="24" t="s">
        <v>191</v>
      </c>
      <c r="C28" s="134"/>
      <c r="D28" s="161">
        <v>103332</v>
      </c>
      <c r="E28" s="247">
        <v>39638</v>
      </c>
      <c r="F28" s="252">
        <f>E28</f>
        <v>39638</v>
      </c>
      <c r="G28" s="25"/>
      <c r="H28" s="25"/>
      <c r="I28" s="25"/>
      <c r="J28" s="25"/>
      <c r="K28" s="26"/>
    </row>
    <row r="29" spans="1:15" ht="14" customHeight="1" x14ac:dyDescent="0.2">
      <c r="B29" s="24" t="s">
        <v>192</v>
      </c>
      <c r="C29" s="134"/>
      <c r="D29" s="161">
        <v>654784</v>
      </c>
      <c r="E29" s="247">
        <v>656275</v>
      </c>
      <c r="F29" s="247">
        <f t="shared" ref="F29:L29" si="14">F52*F60</f>
        <v>788870.03567763546</v>
      </c>
      <c r="G29" s="160">
        <f t="shared" si="14"/>
        <v>898036.51242034836</v>
      </c>
      <c r="H29" s="160">
        <f t="shared" si="14"/>
        <v>1033880.7169544954</v>
      </c>
      <c r="I29" s="160">
        <f t="shared" si="14"/>
        <v>1219997.0188864837</v>
      </c>
      <c r="J29" s="160">
        <f t="shared" si="14"/>
        <v>1495797.6515758662</v>
      </c>
      <c r="K29" s="160">
        <f t="shared" si="14"/>
        <v>1896749.3464939394</v>
      </c>
      <c r="L29" s="160">
        <f t="shared" si="14"/>
        <v>2496561.0692181354</v>
      </c>
      <c r="N29" s="474">
        <f>M27/E34</f>
        <v>0.51799974941750937</v>
      </c>
    </row>
    <row r="30" spans="1:15" ht="14" customHeight="1" x14ac:dyDescent="0.2">
      <c r="B30" s="24" t="s">
        <v>193</v>
      </c>
      <c r="C30" s="134"/>
      <c r="D30" s="161">
        <v>2260390</v>
      </c>
      <c r="E30" s="247">
        <v>1848041</v>
      </c>
      <c r="F30" s="14"/>
      <c r="G30" s="25"/>
      <c r="H30" s="25"/>
      <c r="I30" s="25"/>
      <c r="J30" s="25"/>
      <c r="K30" s="26"/>
    </row>
    <row r="31" spans="1:15" ht="14" customHeight="1" x14ac:dyDescent="0.2">
      <c r="B31" s="24" t="s">
        <v>194</v>
      </c>
      <c r="C31" s="134"/>
      <c r="D31" s="161">
        <v>23345</v>
      </c>
      <c r="E31" s="247">
        <v>13111</v>
      </c>
      <c r="F31" s="247">
        <f>F53*F60</f>
        <v>21127.166143532744</v>
      </c>
      <c r="G31" s="160">
        <f>G53*G60</f>
        <v>24050.814130068615</v>
      </c>
      <c r="H31" s="160">
        <f>G31</f>
        <v>24050.814130068615</v>
      </c>
      <c r="I31" s="160">
        <f>H31</f>
        <v>24050.814130068615</v>
      </c>
      <c r="J31" s="160">
        <f>I31</f>
        <v>24050.814130068615</v>
      </c>
      <c r="K31" s="160">
        <f>J31</f>
        <v>24050.814130068615</v>
      </c>
      <c r="L31" s="160">
        <f>K31</f>
        <v>24050.814130068615</v>
      </c>
    </row>
    <row r="32" spans="1:15" ht="14" customHeight="1" x14ac:dyDescent="0.2">
      <c r="B32" s="24" t="s">
        <v>195</v>
      </c>
      <c r="C32" s="161"/>
      <c r="D32" s="161">
        <v>141847</v>
      </c>
      <c r="E32" s="247">
        <v>215227</v>
      </c>
      <c r="F32" s="247">
        <f t="shared" ref="F32:L32" si="15">SUM(F31,F29)*F54</f>
        <v>214933.99233530439</v>
      </c>
      <c r="G32" s="160">
        <f t="shared" si="15"/>
        <v>244677.27781240497</v>
      </c>
      <c r="H32" s="160">
        <f t="shared" si="15"/>
        <v>280723.74457857554</v>
      </c>
      <c r="I32" s="160">
        <f t="shared" si="15"/>
        <v>330109.98902853718</v>
      </c>
      <c r="J32" s="160">
        <f t="shared" si="15"/>
        <v>403294.10736777494</v>
      </c>
      <c r="K32" s="160">
        <f t="shared" si="15"/>
        <v>509687.25086084957</v>
      </c>
      <c r="L32" s="160">
        <f t="shared" si="15"/>
        <v>668848.20589226112</v>
      </c>
    </row>
    <row r="33" spans="1:20" ht="14" customHeight="1" x14ac:dyDescent="0.2">
      <c r="B33" s="20" t="s">
        <v>196</v>
      </c>
      <c r="C33" s="162"/>
      <c r="D33" s="162">
        <v>78373</v>
      </c>
      <c r="E33" s="253">
        <v>91024</v>
      </c>
      <c r="F33" s="173">
        <f>F55*F45</f>
        <v>99194.578615809209</v>
      </c>
      <c r="G33" s="160">
        <f>G45*G55</f>
        <v>112921.45651676046</v>
      </c>
      <c r="H33" s="160"/>
      <c r="I33" s="160"/>
      <c r="J33" s="160"/>
      <c r="K33" s="26"/>
    </row>
    <row r="34" spans="1:20" ht="14" customHeight="1" x14ac:dyDescent="0.2">
      <c r="A34" s="1" t="s">
        <v>12</v>
      </c>
      <c r="B34" s="27" t="s">
        <v>13</v>
      </c>
      <c r="C34" s="163"/>
      <c r="D34" s="163">
        <f>SUM(D26:D33)</f>
        <v>3894802</v>
      </c>
      <c r="E34" s="254">
        <f>SUM(E26:E33)</f>
        <v>3519799</v>
      </c>
      <c r="F34" s="261">
        <f t="shared" ref="F34:L34" si="16">SUM(F26:F33)</f>
        <v>1896625.1710678604</v>
      </c>
      <c r="G34" s="183">
        <f t="shared" si="16"/>
        <v>2113963.2731551449</v>
      </c>
      <c r="H34" s="183">
        <f t="shared" si="16"/>
        <v>2299131.949425065</v>
      </c>
      <c r="I34" s="183">
        <f t="shared" si="16"/>
        <v>2707536.8081154227</v>
      </c>
      <c r="J34" s="183">
        <f t="shared" si="16"/>
        <v>3312740.7437780784</v>
      </c>
      <c r="K34" s="183">
        <f t="shared" si="16"/>
        <v>4192570.2837208696</v>
      </c>
      <c r="L34" s="183">
        <f t="shared" si="16"/>
        <v>5508768.9149912894</v>
      </c>
    </row>
    <row r="35" spans="1:20" ht="14" customHeight="1" x14ac:dyDescent="0.2">
      <c r="B35" s="24" t="s">
        <v>197</v>
      </c>
      <c r="C35" s="163"/>
      <c r="D35" s="131">
        <v>-25123</v>
      </c>
      <c r="E35" s="247">
        <v>324995</v>
      </c>
      <c r="F35" s="173">
        <f t="shared" ref="F35:L35" si="17">F37-F36</f>
        <v>367122.62842489418</v>
      </c>
      <c r="G35" s="160">
        <f t="shared" si="17"/>
        <v>419129.50266739103</v>
      </c>
      <c r="H35" s="160">
        <f t="shared" si="17"/>
        <v>483586.01191233052</v>
      </c>
      <c r="I35" s="160">
        <f t="shared" si="17"/>
        <v>573182.35821565811</v>
      </c>
      <c r="J35" s="160">
        <f t="shared" si="17"/>
        <v>701757.96486968047</v>
      </c>
      <c r="K35" s="160">
        <f t="shared" si="17"/>
        <v>890729.55814781913</v>
      </c>
      <c r="L35" s="160">
        <f t="shared" si="17"/>
        <v>1173214.6257633206</v>
      </c>
    </row>
    <row r="36" spans="1:20" s="9" customFormat="1" ht="14" customHeight="1" x14ac:dyDescent="0.2">
      <c r="B36" s="20" t="s">
        <v>198</v>
      </c>
      <c r="C36" s="162"/>
      <c r="D36" s="162">
        <v>5720</v>
      </c>
      <c r="E36" s="247">
        <v>4810</v>
      </c>
      <c r="F36" s="173">
        <f t="shared" ref="F36:L36" si="18">E36*(1+F57)</f>
        <v>4044.7727272727275</v>
      </c>
      <c r="G36" s="160">
        <f t="shared" si="18"/>
        <v>3401.2861570247937</v>
      </c>
      <c r="H36" s="160">
        <f t="shared" si="18"/>
        <v>2860.1724502253946</v>
      </c>
      <c r="I36" s="160">
        <f t="shared" si="18"/>
        <v>2405.1450149622638</v>
      </c>
      <c r="J36" s="160">
        <f t="shared" si="18"/>
        <v>2022.5083080364491</v>
      </c>
      <c r="K36" s="160">
        <f t="shared" si="18"/>
        <v>1700.745622667014</v>
      </c>
      <c r="L36" s="160">
        <f t="shared" si="18"/>
        <v>1430.1724554245345</v>
      </c>
    </row>
    <row r="37" spans="1:20" ht="14" customHeight="1" x14ac:dyDescent="0.2">
      <c r="B37" s="17" t="s">
        <v>139</v>
      </c>
      <c r="C37" s="164"/>
      <c r="D37" s="122">
        <f>SUM(D35:D36)</f>
        <v>-19403</v>
      </c>
      <c r="E37" s="255">
        <f>SUM(E35:E36)</f>
        <v>329805</v>
      </c>
      <c r="F37" s="186">
        <f>F56*F45</f>
        <v>371167.40115216689</v>
      </c>
      <c r="G37" s="183">
        <f t="shared" ref="G37:L37" si="19">G45*G56</f>
        <v>422530.78882441582</v>
      </c>
      <c r="H37" s="183">
        <f t="shared" si="19"/>
        <v>486446.18436255591</v>
      </c>
      <c r="I37" s="183">
        <f t="shared" si="19"/>
        <v>575587.50323062041</v>
      </c>
      <c r="J37" s="183">
        <f t="shared" si="19"/>
        <v>703780.47317771695</v>
      </c>
      <c r="K37" s="183">
        <f t="shared" si="19"/>
        <v>892430.30377048615</v>
      </c>
      <c r="L37" s="183">
        <f t="shared" si="19"/>
        <v>1174644.798218745</v>
      </c>
    </row>
    <row r="38" spans="1:20" ht="14" customHeight="1" x14ac:dyDescent="0.2">
      <c r="A38" s="1" t="s">
        <v>12</v>
      </c>
      <c r="B38" s="29" t="s">
        <v>140</v>
      </c>
      <c r="C38" s="150"/>
      <c r="D38" s="150">
        <f>D34+D37</f>
        <v>3875399</v>
      </c>
      <c r="E38" s="248">
        <f t="shared" ref="E38:L38" si="20">E37+E34</f>
        <v>3849604</v>
      </c>
      <c r="F38" s="169">
        <f t="shared" si="20"/>
        <v>2267792.5722200274</v>
      </c>
      <c r="G38" s="182">
        <f t="shared" si="20"/>
        <v>2536494.0619795606</v>
      </c>
      <c r="H38" s="182">
        <f t="shared" si="20"/>
        <v>2785578.1337876208</v>
      </c>
      <c r="I38" s="182">
        <f t="shared" si="20"/>
        <v>3283124.3113460429</v>
      </c>
      <c r="J38" s="182">
        <f t="shared" si="20"/>
        <v>4016521.2169557954</v>
      </c>
      <c r="K38" s="182">
        <f t="shared" si="20"/>
        <v>5085000.5874913558</v>
      </c>
      <c r="L38" s="182">
        <f t="shared" si="20"/>
        <v>6683413.7132100342</v>
      </c>
    </row>
    <row r="39" spans="1:20" s="9" customFormat="1" ht="14" customHeight="1" x14ac:dyDescent="0.2">
      <c r="B39" s="24"/>
      <c r="C39" s="134"/>
      <c r="D39" s="134"/>
      <c r="E39" s="256"/>
      <c r="F39" s="245"/>
      <c r="G39" s="26"/>
      <c r="H39" s="26"/>
      <c r="I39" s="1"/>
      <c r="J39" s="1"/>
      <c r="K39" s="1"/>
      <c r="L39" s="1"/>
    </row>
    <row r="40" spans="1:20" ht="14" customHeight="1" x14ac:dyDescent="0.2">
      <c r="A40" s="1" t="s">
        <v>12</v>
      </c>
      <c r="B40" s="154" t="s">
        <v>30</v>
      </c>
      <c r="C40" s="155"/>
      <c r="D40" s="155">
        <f t="shared" ref="D40:J40" si="21">D38-D24</f>
        <v>0</v>
      </c>
      <c r="E40" s="257">
        <f t="shared" si="21"/>
        <v>0</v>
      </c>
      <c r="F40" s="257">
        <f t="shared" si="21"/>
        <v>-2257610.5166339045</v>
      </c>
      <c r="G40" s="155">
        <f t="shared" si="21"/>
        <v>-2574639.2610453251</v>
      </c>
      <c r="H40" s="155">
        <f t="shared" si="21"/>
        <v>-3045089.8642015103</v>
      </c>
      <c r="I40" s="155">
        <f t="shared" si="21"/>
        <v>-3483091.8567141481</v>
      </c>
      <c r="J40" s="155">
        <f t="shared" si="21"/>
        <v>-4034634.4521368067</v>
      </c>
      <c r="K40" s="155">
        <f>K38-K24</f>
        <v>-4749243.379334351</v>
      </c>
      <c r="L40" s="155">
        <f>L38-L24</f>
        <v>-5703037.7882208982</v>
      </c>
    </row>
    <row r="41" spans="1:20" s="9" customFormat="1" ht="14" customHeight="1" x14ac:dyDescent="0.2">
      <c r="B41" s="24"/>
      <c r="C41" s="134"/>
      <c r="D41" s="134"/>
      <c r="E41" s="258"/>
      <c r="F41" s="258"/>
      <c r="G41" s="134"/>
      <c r="H41" s="134"/>
      <c r="I41" s="140"/>
      <c r="J41" s="140"/>
      <c r="K41" s="140"/>
      <c r="L41" s="140"/>
    </row>
    <row r="42" spans="1:20" s="9" customFormat="1" ht="14" customHeight="1" x14ac:dyDescent="0.2">
      <c r="A42" s="9" t="s">
        <v>12</v>
      </c>
      <c r="B42" s="1" t="s">
        <v>141</v>
      </c>
      <c r="C42" s="134"/>
      <c r="D42" s="293">
        <f>E42</f>
        <v>188923</v>
      </c>
      <c r="E42" s="259">
        <f>'Income Statement'!L32</f>
        <v>188923</v>
      </c>
      <c r="F42" s="153">
        <f>'Income Statement'!R32</f>
        <v>188923</v>
      </c>
      <c r="G42" s="141">
        <f t="shared" ref="G42:L42" si="22">F42</f>
        <v>188923</v>
      </c>
      <c r="H42" s="141">
        <f t="shared" si="22"/>
        <v>188923</v>
      </c>
      <c r="I42" s="141">
        <f t="shared" si="22"/>
        <v>188923</v>
      </c>
      <c r="J42" s="141">
        <f t="shared" si="22"/>
        <v>188923</v>
      </c>
      <c r="K42" s="141">
        <f t="shared" si="22"/>
        <v>188923</v>
      </c>
      <c r="L42" s="141">
        <f t="shared" si="22"/>
        <v>188923</v>
      </c>
    </row>
    <row r="44" spans="1:20" ht="14" customHeight="1" x14ac:dyDescent="0.2">
      <c r="B44" s="9" t="s">
        <v>74</v>
      </c>
    </row>
    <row r="45" spans="1:20" ht="14" customHeight="1" x14ac:dyDescent="0.2">
      <c r="B45" s="24" t="s">
        <v>104</v>
      </c>
      <c r="C45" s="156"/>
      <c r="D45" s="156">
        <f>'Income Statement'!H13</f>
        <v>2854369</v>
      </c>
      <c r="E45" s="156">
        <f>'Income Statement'!M13</f>
        <v>3105084</v>
      </c>
      <c r="F45" s="156">
        <f>'Income Statement'!R13</f>
        <v>3494507.2349999999</v>
      </c>
      <c r="G45" s="156">
        <f>'Income Statement'!S13</f>
        <v>3978088.8460941236</v>
      </c>
      <c r="H45" s="156">
        <f>'Income Statement'!T13</f>
        <v>4579846.4666248923</v>
      </c>
      <c r="I45" s="156">
        <f>'Income Statement'!U13</f>
        <v>5419103.8549486753</v>
      </c>
      <c r="J45" s="156">
        <f>'Income Statement'!V13</f>
        <v>6626028.9770517675</v>
      </c>
      <c r="K45" s="156">
        <f>'Income Statement'!W13</f>
        <v>8402149.9290577043</v>
      </c>
      <c r="L45" s="156">
        <f>'Income Statement'!X13</f>
        <v>11059173.659078103</v>
      </c>
    </row>
    <row r="46" spans="1:20" ht="14" customHeight="1" x14ac:dyDescent="0.2">
      <c r="B46" s="24" t="s">
        <v>105</v>
      </c>
      <c r="C46" s="165"/>
      <c r="D46" s="165">
        <f>'Income Statement'!H14</f>
        <v>1498806</v>
      </c>
      <c r="E46" s="165">
        <f>'Income Statement'!M14</f>
        <v>1579690</v>
      </c>
      <c r="F46" s="165">
        <f>'Income Statement'!R14</f>
        <v>1747253.6174999999</v>
      </c>
      <c r="G46" s="165">
        <f>'Income Statement'!S14</f>
        <v>1989044.4230470618</v>
      </c>
      <c r="H46" s="165">
        <f>'Income Statement'!T14</f>
        <v>2289923.2333124462</v>
      </c>
      <c r="I46" s="165">
        <f>'Income Statement'!U14</f>
        <v>2709551.9274743376</v>
      </c>
      <c r="J46" s="165">
        <f>'Income Statement'!V14</f>
        <v>3313014.4885258838</v>
      </c>
      <c r="K46" s="165">
        <f>'Income Statement'!W14</f>
        <v>4201074.9645288521</v>
      </c>
      <c r="L46" s="165">
        <f>'Income Statement'!X14</f>
        <v>5529586.8295390513</v>
      </c>
      <c r="N46" s="187" t="s">
        <v>146</v>
      </c>
      <c r="O46" s="188">
        <f>-(E38-E24)</f>
        <v>0</v>
      </c>
      <c r="P46" s="188"/>
      <c r="Q46" s="188"/>
      <c r="R46" s="188"/>
      <c r="S46" s="188"/>
      <c r="T46" s="188"/>
    </row>
    <row r="47" spans="1:20" ht="14" customHeight="1" x14ac:dyDescent="0.2">
      <c r="B47" s="24" t="s">
        <v>28</v>
      </c>
      <c r="C47" s="120"/>
      <c r="D47" s="120">
        <v>365</v>
      </c>
      <c r="E47" s="120">
        <v>366</v>
      </c>
      <c r="F47" s="120">
        <v>365</v>
      </c>
      <c r="G47" s="120">
        <v>365</v>
      </c>
      <c r="H47" s="120">
        <v>365</v>
      </c>
      <c r="I47" s="120">
        <v>366</v>
      </c>
      <c r="J47" s="120">
        <v>365</v>
      </c>
      <c r="K47" s="120">
        <v>365</v>
      </c>
      <c r="L47" s="120">
        <v>365</v>
      </c>
    </row>
    <row r="48" spans="1:20" ht="14" customHeight="1" x14ac:dyDescent="0.2">
      <c r="A48" s="1" t="s">
        <v>12</v>
      </c>
      <c r="B48" s="24" t="s">
        <v>142</v>
      </c>
      <c r="C48" s="22"/>
      <c r="D48" s="22">
        <f>D9/D45</f>
        <v>6.4025709359932084E-2</v>
      </c>
      <c r="E48" s="22">
        <f>E9/E45</f>
        <v>0.14743047209028806</v>
      </c>
      <c r="F48" s="157"/>
      <c r="G48" s="157"/>
      <c r="H48" s="157"/>
      <c r="I48" s="157"/>
      <c r="J48" s="157"/>
      <c r="K48" s="157"/>
      <c r="L48" s="157"/>
    </row>
    <row r="49" spans="2:12" ht="14" customHeight="1" x14ac:dyDescent="0.2">
      <c r="B49" s="24" t="s">
        <v>27</v>
      </c>
      <c r="C49" s="85"/>
      <c r="D49" s="85">
        <f>(SUM(D13:D15)/D45)*D47</f>
        <v>172.29238230936505</v>
      </c>
      <c r="E49" s="85">
        <f>(SUM(E13:E15)/E45)*E47</f>
        <v>122.07520183028865</v>
      </c>
      <c r="F49" s="159">
        <f t="shared" ref="F49:F55" si="23">AVERAGE(D49:E49)</f>
        <v>147.18379206982684</v>
      </c>
      <c r="G49" s="159">
        <f t="shared" ref="G49:J51" si="24">F49</f>
        <v>147.18379206982684</v>
      </c>
      <c r="H49" s="159">
        <f t="shared" si="24"/>
        <v>147.18379206982684</v>
      </c>
      <c r="I49" s="159">
        <f t="shared" si="24"/>
        <v>147.18379206982684</v>
      </c>
      <c r="J49" s="159">
        <f t="shared" si="24"/>
        <v>147.18379206982684</v>
      </c>
      <c r="K49" s="159">
        <f t="shared" ref="K49:K57" si="25">J49</f>
        <v>147.18379206982684</v>
      </c>
      <c r="L49" s="159">
        <f t="shared" ref="L49:L57" si="26">K49</f>
        <v>147.18379206982684</v>
      </c>
    </row>
    <row r="50" spans="2:12" ht="14" customHeight="1" x14ac:dyDescent="0.2">
      <c r="B50" s="24" t="s">
        <v>143</v>
      </c>
      <c r="C50" s="85"/>
      <c r="D50" s="85">
        <f>D16/D46*D47</f>
        <v>71.946696236871219</v>
      </c>
      <c r="E50" s="85">
        <f>E16/E46*E47</f>
        <v>75.067429685571227</v>
      </c>
      <c r="F50" s="159">
        <f t="shared" si="23"/>
        <v>73.507062961221223</v>
      </c>
      <c r="G50" s="159">
        <f t="shared" si="24"/>
        <v>73.507062961221223</v>
      </c>
      <c r="H50" s="159">
        <f t="shared" si="24"/>
        <v>73.507062961221223</v>
      </c>
      <c r="I50" s="159">
        <f t="shared" si="24"/>
        <v>73.507062961221223</v>
      </c>
      <c r="J50" s="159">
        <f t="shared" si="24"/>
        <v>73.507062961221223</v>
      </c>
      <c r="K50" s="159">
        <f t="shared" si="25"/>
        <v>73.507062961221223</v>
      </c>
      <c r="L50" s="159">
        <f t="shared" si="26"/>
        <v>73.507062961221223</v>
      </c>
    </row>
    <row r="51" spans="2:12" ht="14" customHeight="1" x14ac:dyDescent="0.2">
      <c r="B51" s="24" t="s">
        <v>36</v>
      </c>
      <c r="C51" s="85"/>
      <c r="D51" s="85">
        <f>SUM(D26:D27)/D46*D47</f>
        <v>154.08719674193992</v>
      </c>
      <c r="E51" s="85">
        <f>SUM(E26:E27)/E46*E47</f>
        <v>152.1012211256639</v>
      </c>
      <c r="F51" s="159">
        <f t="shared" si="23"/>
        <v>153.09420893380189</v>
      </c>
      <c r="G51" s="159">
        <f t="shared" si="24"/>
        <v>153.09420893380189</v>
      </c>
      <c r="H51" s="159">
        <f t="shared" si="24"/>
        <v>153.09420893380189</v>
      </c>
      <c r="I51" s="159">
        <f t="shared" si="24"/>
        <v>153.09420893380189</v>
      </c>
      <c r="J51" s="159">
        <f t="shared" si="24"/>
        <v>153.09420893380189</v>
      </c>
      <c r="K51" s="159">
        <f t="shared" si="25"/>
        <v>153.09420893380189</v>
      </c>
      <c r="L51" s="159">
        <f t="shared" si="26"/>
        <v>153.09420893380189</v>
      </c>
    </row>
    <row r="52" spans="2:12" ht="14" customHeight="1" x14ac:dyDescent="0.2">
      <c r="B52" s="24" t="s">
        <v>263</v>
      </c>
      <c r="C52" s="22"/>
      <c r="D52" s="22">
        <f>D29/D60</f>
        <v>0.48597589803459956</v>
      </c>
      <c r="E52" s="22">
        <f>E29/E60</f>
        <v>0.63367436992234949</v>
      </c>
      <c r="F52" s="157">
        <f t="shared" si="23"/>
        <v>0.55982513397847455</v>
      </c>
      <c r="G52" s="157">
        <f t="shared" ref="G52:J57" si="27">F52</f>
        <v>0.55982513397847455</v>
      </c>
      <c r="H52" s="157">
        <f t="shared" si="27"/>
        <v>0.55982513397847455</v>
      </c>
      <c r="I52" s="157">
        <f t="shared" si="27"/>
        <v>0.55982513397847455</v>
      </c>
      <c r="J52" s="157">
        <f t="shared" si="27"/>
        <v>0.55982513397847455</v>
      </c>
      <c r="K52" s="157">
        <f t="shared" si="25"/>
        <v>0.55982513397847455</v>
      </c>
      <c r="L52" s="157">
        <f t="shared" si="26"/>
        <v>0.55982513397847455</v>
      </c>
    </row>
    <row r="53" spans="2:12" ht="14" customHeight="1" x14ac:dyDescent="0.2">
      <c r="B53" s="24" t="s">
        <v>264</v>
      </c>
      <c r="C53" s="22"/>
      <c r="D53" s="22">
        <f>D31/D60</f>
        <v>1.7326488337555172E-2</v>
      </c>
      <c r="E53" s="22">
        <f>E31/E60</f>
        <v>1.2659486745726905E-2</v>
      </c>
      <c r="F53" s="157">
        <f t="shared" si="23"/>
        <v>1.4992987541641039E-2</v>
      </c>
      <c r="G53" s="157">
        <f>F53</f>
        <v>1.4992987541641039E-2</v>
      </c>
      <c r="H53" s="157">
        <f t="shared" si="27"/>
        <v>1.4992987541641039E-2</v>
      </c>
      <c r="I53" s="157">
        <f t="shared" si="27"/>
        <v>1.4992987541641039E-2</v>
      </c>
      <c r="J53" s="157">
        <f t="shared" si="27"/>
        <v>1.4992987541641039E-2</v>
      </c>
      <c r="K53" s="157">
        <f t="shared" si="25"/>
        <v>1.4992987541641039E-2</v>
      </c>
      <c r="L53" s="157">
        <f t="shared" si="26"/>
        <v>1.4992987541641039E-2</v>
      </c>
    </row>
    <row r="54" spans="2:12" ht="14" customHeight="1" x14ac:dyDescent="0.2">
      <c r="B54" s="24" t="s">
        <v>265</v>
      </c>
      <c r="C54" s="22"/>
      <c r="D54" s="22">
        <f>D32/(SUM(D31,D29))</f>
        <v>0.2091740657013636</v>
      </c>
      <c r="E54" s="22">
        <f>E32/(SUM(E31,E29))</f>
        <v>0.32152898327721224</v>
      </c>
      <c r="F54" s="157">
        <f t="shared" si="23"/>
        <v>0.26535152448928789</v>
      </c>
      <c r="G54" s="157">
        <f>F54</f>
        <v>0.26535152448928789</v>
      </c>
      <c r="H54" s="157">
        <f t="shared" si="27"/>
        <v>0.26535152448928789</v>
      </c>
      <c r="I54" s="157">
        <f t="shared" si="27"/>
        <v>0.26535152448928789</v>
      </c>
      <c r="J54" s="157">
        <f t="shared" si="27"/>
        <v>0.26535152448928789</v>
      </c>
      <c r="K54" s="157">
        <f t="shared" si="25"/>
        <v>0.26535152448928789</v>
      </c>
      <c r="L54" s="157">
        <f t="shared" si="26"/>
        <v>0.26535152448928789</v>
      </c>
    </row>
    <row r="55" spans="2:12" ht="13.5" customHeight="1" x14ac:dyDescent="0.2">
      <c r="B55" s="24" t="s">
        <v>266</v>
      </c>
      <c r="C55" s="22"/>
      <c r="D55" s="22">
        <f>D33/D45</f>
        <v>2.7457206829250177E-2</v>
      </c>
      <c r="E55" s="22">
        <f>E33/E45</f>
        <v>2.931450485719549E-2</v>
      </c>
      <c r="F55" s="157">
        <f t="shared" si="23"/>
        <v>2.8385855843222833E-2</v>
      </c>
      <c r="G55" s="157">
        <f>F55</f>
        <v>2.8385855843222833E-2</v>
      </c>
      <c r="H55" s="157">
        <f t="shared" si="27"/>
        <v>2.8385855843222833E-2</v>
      </c>
      <c r="I55" s="157">
        <f t="shared" si="27"/>
        <v>2.8385855843222833E-2</v>
      </c>
      <c r="J55" s="157">
        <f t="shared" si="27"/>
        <v>2.8385855843222833E-2</v>
      </c>
      <c r="K55" s="157">
        <f t="shared" si="25"/>
        <v>2.8385855843222833E-2</v>
      </c>
      <c r="L55" s="157">
        <f t="shared" si="26"/>
        <v>2.8385855843222833E-2</v>
      </c>
    </row>
    <row r="56" spans="2:12" ht="14" customHeight="1" x14ac:dyDescent="0.2">
      <c r="B56" s="24" t="s">
        <v>145</v>
      </c>
      <c r="C56" s="22"/>
      <c r="D56" s="22">
        <f>D37/D45</f>
        <v>-6.7976494980151476E-3</v>
      </c>
      <c r="E56" s="39">
        <f>E37/E45</f>
        <v>0.10621451786811564</v>
      </c>
      <c r="F56" s="39">
        <f>E56</f>
        <v>0.10621451786811564</v>
      </c>
      <c r="G56" s="39">
        <f t="shared" si="27"/>
        <v>0.10621451786811564</v>
      </c>
      <c r="H56" s="39">
        <f t="shared" si="27"/>
        <v>0.10621451786811564</v>
      </c>
      <c r="I56" s="39">
        <f t="shared" si="27"/>
        <v>0.10621451786811564</v>
      </c>
      <c r="J56" s="39">
        <f t="shared" si="27"/>
        <v>0.10621451786811564</v>
      </c>
      <c r="K56" s="39">
        <f t="shared" si="25"/>
        <v>0.10621451786811564</v>
      </c>
      <c r="L56" s="39">
        <f t="shared" si="26"/>
        <v>0.10621451786811564</v>
      </c>
    </row>
    <row r="57" spans="2:12" ht="14" customHeight="1" x14ac:dyDescent="0.2">
      <c r="B57" s="24" t="s">
        <v>267</v>
      </c>
      <c r="C57" s="22"/>
      <c r="D57" s="22"/>
      <c r="E57" s="39">
        <f>E36/D36-1</f>
        <v>-0.15909090909090906</v>
      </c>
      <c r="F57" s="39">
        <f>E57</f>
        <v>-0.15909090909090906</v>
      </c>
      <c r="G57" s="39">
        <f t="shared" si="27"/>
        <v>-0.15909090909090906</v>
      </c>
      <c r="H57" s="39">
        <f t="shared" si="27"/>
        <v>-0.15909090909090906</v>
      </c>
      <c r="I57" s="39">
        <f t="shared" si="27"/>
        <v>-0.15909090909090906</v>
      </c>
      <c r="J57" s="39">
        <f t="shared" si="27"/>
        <v>-0.15909090909090906</v>
      </c>
      <c r="K57" s="39">
        <f t="shared" si="25"/>
        <v>-0.15909090909090906</v>
      </c>
      <c r="L57" s="39">
        <f t="shared" si="26"/>
        <v>-0.15909090909090906</v>
      </c>
    </row>
    <row r="59" spans="2:12" ht="14" customHeight="1" x14ac:dyDescent="0.2">
      <c r="B59" s="9" t="s">
        <v>250</v>
      </c>
    </row>
    <row r="60" spans="2:12" ht="14" customHeight="1" x14ac:dyDescent="0.2">
      <c r="B60" s="1" t="s">
        <v>257</v>
      </c>
      <c r="D60" s="292">
        <f>SUM(D13:D15)</f>
        <v>1347359</v>
      </c>
      <c r="E60" s="292">
        <f>SUM(E13:E15)</f>
        <v>1035666</v>
      </c>
      <c r="F60" s="292">
        <f t="shared" ref="F60:L60" si="28">F45*F49/F47</f>
        <v>1409136.5103088918</v>
      </c>
      <c r="G60" s="292">
        <f t="shared" si="28"/>
        <v>1604137.538517301</v>
      </c>
      <c r="H60" s="292">
        <f t="shared" si="28"/>
        <v>1846792.2467272582</v>
      </c>
      <c r="I60" s="292">
        <f t="shared" si="28"/>
        <v>2179246.5983376033</v>
      </c>
      <c r="J60" s="292">
        <f t="shared" si="28"/>
        <v>2671901.56495078</v>
      </c>
      <c r="K60" s="292">
        <f t="shared" si="28"/>
        <v>3388110.3783505191</v>
      </c>
      <c r="L60" s="292">
        <f t="shared" si="28"/>
        <v>4459537.3049365962</v>
      </c>
    </row>
    <row r="61" spans="2:12" ht="14" customHeight="1" x14ac:dyDescent="0.2">
      <c r="B61" s="1" t="s">
        <v>258</v>
      </c>
      <c r="D61" s="86">
        <f t="shared" ref="D61:E63" si="29">D13/D$60</f>
        <v>1.1406759445700812E-2</v>
      </c>
      <c r="E61" s="86">
        <f t="shared" si="29"/>
        <v>1.2668176806035923E-3</v>
      </c>
      <c r="F61" s="82">
        <f>AVERAGE(D61:E61)</f>
        <v>6.3367885631522023E-3</v>
      </c>
      <c r="G61" s="82">
        <f t="shared" ref="G61:L63" si="30">F61</f>
        <v>6.3367885631522023E-3</v>
      </c>
      <c r="H61" s="82">
        <f t="shared" si="30"/>
        <v>6.3367885631522023E-3</v>
      </c>
      <c r="I61" s="82">
        <f t="shared" si="30"/>
        <v>6.3367885631522023E-3</v>
      </c>
      <c r="J61" s="82">
        <f t="shared" si="30"/>
        <v>6.3367885631522023E-3</v>
      </c>
      <c r="K61" s="82">
        <f t="shared" si="30"/>
        <v>6.3367885631522023E-3</v>
      </c>
      <c r="L61" s="82">
        <f t="shared" si="30"/>
        <v>6.3367885631522023E-3</v>
      </c>
    </row>
    <row r="62" spans="2:12" ht="14" customHeight="1" x14ac:dyDescent="0.2">
      <c r="B62" s="1" t="s">
        <v>259</v>
      </c>
      <c r="D62" s="86">
        <f t="shared" si="29"/>
        <v>0.87120433381155282</v>
      </c>
      <c r="E62" s="86">
        <f t="shared" si="29"/>
        <v>0.76315819965123888</v>
      </c>
      <c r="F62" s="82">
        <f>AVERAGE(D62:E62)</f>
        <v>0.81718126673139579</v>
      </c>
      <c r="G62" s="82">
        <f t="shared" si="30"/>
        <v>0.81718126673139579</v>
      </c>
      <c r="H62" s="82">
        <f t="shared" si="30"/>
        <v>0.81718126673139579</v>
      </c>
      <c r="I62" s="82">
        <f t="shared" si="30"/>
        <v>0.81718126673139579</v>
      </c>
      <c r="J62" s="82">
        <f t="shared" si="30"/>
        <v>0.81718126673139579</v>
      </c>
      <c r="K62" s="82">
        <f t="shared" si="30"/>
        <v>0.81718126673139579</v>
      </c>
      <c r="L62" s="82">
        <f t="shared" si="30"/>
        <v>0.81718126673139579</v>
      </c>
    </row>
    <row r="63" spans="2:12" ht="14" customHeight="1" x14ac:dyDescent="0.2">
      <c r="B63" s="1" t="s">
        <v>260</v>
      </c>
      <c r="D63" s="86">
        <f t="shared" si="29"/>
        <v>0.11738890674274637</v>
      </c>
      <c r="E63" s="86">
        <f t="shared" si="29"/>
        <v>0.23557498266815749</v>
      </c>
      <c r="F63" s="82">
        <f>AVERAGE(D63:E63)</f>
        <v>0.17648194470545192</v>
      </c>
      <c r="G63" s="82">
        <f t="shared" si="30"/>
        <v>0.17648194470545192</v>
      </c>
      <c r="H63" s="82">
        <f t="shared" si="30"/>
        <v>0.17648194470545192</v>
      </c>
      <c r="I63" s="82">
        <f t="shared" si="30"/>
        <v>0.17648194470545192</v>
      </c>
      <c r="J63" s="82">
        <f t="shared" si="30"/>
        <v>0.17648194470545192</v>
      </c>
      <c r="K63" s="82">
        <f t="shared" si="30"/>
        <v>0.17648194470545192</v>
      </c>
      <c r="L63" s="82">
        <f t="shared" si="30"/>
        <v>0.17648194470545192</v>
      </c>
    </row>
    <row r="64" spans="2:12" ht="14" customHeight="1" x14ac:dyDescent="0.2">
      <c r="B64" s="1" t="s">
        <v>138</v>
      </c>
      <c r="D64" s="131">
        <f t="shared" ref="D64:L64" si="31">D46*D51/D47</f>
        <v>632731</v>
      </c>
      <c r="E64" s="160">
        <f t="shared" si="31"/>
        <v>656483</v>
      </c>
      <c r="F64" s="160">
        <f t="shared" si="31"/>
        <v>732861.39829557855</v>
      </c>
      <c r="G64" s="160">
        <f t="shared" si="31"/>
        <v>834277.21227556258</v>
      </c>
      <c r="H64" s="160">
        <f t="shared" si="31"/>
        <v>960476.67376192543</v>
      </c>
      <c r="I64" s="160">
        <f t="shared" si="31"/>
        <v>1133378.986070333</v>
      </c>
      <c r="J64" s="160">
        <f t="shared" si="31"/>
        <v>1389598.1707043683</v>
      </c>
      <c r="K64" s="160">
        <f t="shared" si="31"/>
        <v>1762082.872236012</v>
      </c>
      <c r="L64" s="160">
        <f t="shared" si="31"/>
        <v>2319308.8257508241</v>
      </c>
    </row>
    <row r="65" spans="2:12" ht="14" customHeight="1" x14ac:dyDescent="0.2">
      <c r="B65" s="1" t="s">
        <v>261</v>
      </c>
      <c r="D65" s="22">
        <f>D26/D64</f>
        <v>0.19792297200548101</v>
      </c>
      <c r="E65" s="22">
        <f>E26/E64</f>
        <v>6.3360361197471987E-2</v>
      </c>
      <c r="F65" s="298">
        <f>AVERAGE(D65:E65)</f>
        <v>0.1306416666014765</v>
      </c>
      <c r="G65" s="298">
        <f t="shared" ref="G65:L66" si="32">F65</f>
        <v>0.1306416666014765</v>
      </c>
      <c r="H65" s="298">
        <f t="shared" si="32"/>
        <v>0.1306416666014765</v>
      </c>
      <c r="I65" s="298">
        <f t="shared" si="32"/>
        <v>0.1306416666014765</v>
      </c>
      <c r="J65" s="298">
        <f t="shared" si="32"/>
        <v>0.1306416666014765</v>
      </c>
      <c r="K65" s="298">
        <f t="shared" si="32"/>
        <v>0.1306416666014765</v>
      </c>
      <c r="L65" s="298">
        <f t="shared" si="32"/>
        <v>0.1306416666014765</v>
      </c>
    </row>
    <row r="66" spans="2:12" ht="14" customHeight="1" x14ac:dyDescent="0.2">
      <c r="B66" s="1" t="s">
        <v>262</v>
      </c>
      <c r="D66" s="22">
        <f>D27/D64</f>
        <v>0.80207702799451897</v>
      </c>
      <c r="E66" s="22">
        <f>E27/E64</f>
        <v>0.93663963880252799</v>
      </c>
      <c r="F66" s="298">
        <f>AVERAGE(D66:E66)</f>
        <v>0.86935833339852353</v>
      </c>
      <c r="G66" s="298">
        <f t="shared" si="32"/>
        <v>0.86935833339852353</v>
      </c>
      <c r="H66" s="298">
        <f t="shared" si="32"/>
        <v>0.86935833339852353</v>
      </c>
      <c r="I66" s="298">
        <f t="shared" si="32"/>
        <v>0.86935833339852353</v>
      </c>
      <c r="J66" s="298">
        <f t="shared" si="32"/>
        <v>0.86935833339852353</v>
      </c>
      <c r="K66" s="298">
        <f t="shared" si="32"/>
        <v>0.86935833339852353</v>
      </c>
      <c r="L66" s="298">
        <f t="shared" si="32"/>
        <v>0.86935833339852353</v>
      </c>
    </row>
  </sheetData>
  <mergeCells count="3">
    <mergeCell ref="C1:E1"/>
    <mergeCell ref="C6:E6"/>
    <mergeCell ref="G6:L6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1"/>
  <sheetViews>
    <sheetView showGridLines="0" workbookViewId="0">
      <selection activeCell="F25" sqref="F25"/>
    </sheetView>
  </sheetViews>
  <sheetFormatPr baseColWidth="10" defaultColWidth="8.5" defaultRowHeight="14" customHeight="1" x14ac:dyDescent="0.2"/>
  <cols>
    <col min="1" max="1" width="1.5" style="1" customWidth="1"/>
    <col min="2" max="2" width="49.33203125" style="1" bestFit="1" customWidth="1"/>
    <col min="3" max="10" width="10.5" style="1" customWidth="1"/>
    <col min="11" max="26" width="10" style="1" customWidth="1"/>
    <col min="27" max="16384" width="8.5" style="1"/>
  </cols>
  <sheetData>
    <row r="1" spans="2:12" ht="21" x14ac:dyDescent="0.3">
      <c r="B1" s="8" t="s">
        <v>188</v>
      </c>
      <c r="C1" s="476" t="s">
        <v>126</v>
      </c>
      <c r="D1" s="477"/>
      <c r="E1" s="478"/>
    </row>
    <row r="2" spans="2:12" ht="14" customHeight="1" x14ac:dyDescent="0.2">
      <c r="B2" s="1" t="s">
        <v>163</v>
      </c>
      <c r="C2" s="136" t="s">
        <v>123</v>
      </c>
      <c r="D2" s="137" t="s">
        <v>124</v>
      </c>
      <c r="E2" s="138" t="s">
        <v>125</v>
      </c>
      <c r="G2" s="139" t="s">
        <v>130</v>
      </c>
    </row>
    <row r="4" spans="2:12" ht="14" customHeight="1" x14ac:dyDescent="0.2">
      <c r="B4" s="9" t="s">
        <v>200</v>
      </c>
    </row>
    <row r="5" spans="2:12" ht="14" customHeight="1" x14ac:dyDescent="0.2">
      <c r="B5" s="10" t="s">
        <v>172</v>
      </c>
    </row>
    <row r="6" spans="2:12" ht="14" customHeight="1" x14ac:dyDescent="0.2">
      <c r="C6" s="479" t="s">
        <v>7</v>
      </c>
      <c r="D6" s="479"/>
      <c r="E6" s="482"/>
      <c r="F6" s="260" t="s">
        <v>116</v>
      </c>
      <c r="G6" s="483" t="s">
        <v>8</v>
      </c>
      <c r="H6" s="481"/>
      <c r="I6" s="481"/>
      <c r="J6" s="481"/>
      <c r="K6" s="481"/>
      <c r="L6" s="481"/>
    </row>
    <row r="7" spans="2:12" ht="14" customHeight="1" x14ac:dyDescent="0.2">
      <c r="B7" s="1" t="s">
        <v>175</v>
      </c>
      <c r="C7" s="70">
        <v>2014</v>
      </c>
      <c r="D7" s="71">
        <v>2015</v>
      </c>
      <c r="E7" s="71">
        <v>2016</v>
      </c>
      <c r="F7" s="264">
        <v>2017</v>
      </c>
      <c r="G7" s="13">
        <v>2018</v>
      </c>
      <c r="H7" s="12">
        <v>2019</v>
      </c>
      <c r="I7" s="12">
        <v>2020</v>
      </c>
      <c r="J7" s="56">
        <v>2021</v>
      </c>
      <c r="K7" s="56">
        <v>2022</v>
      </c>
      <c r="L7" s="56">
        <v>2023</v>
      </c>
    </row>
    <row r="8" spans="2:12" ht="14" customHeight="1" x14ac:dyDescent="0.2">
      <c r="B8" s="26"/>
      <c r="C8" s="26"/>
      <c r="D8" s="26"/>
      <c r="E8" s="245"/>
      <c r="F8" s="245"/>
      <c r="G8" s="26"/>
      <c r="H8" s="26"/>
      <c r="I8" s="26"/>
      <c r="J8" s="26"/>
      <c r="K8" s="26"/>
    </row>
    <row r="9" spans="2:12" ht="14" customHeight="1" x14ac:dyDescent="0.2">
      <c r="B9" s="27" t="s">
        <v>201</v>
      </c>
      <c r="C9" s="149"/>
      <c r="D9" s="149"/>
      <c r="E9" s="246"/>
      <c r="F9" s="246"/>
      <c r="G9" s="158"/>
      <c r="H9" s="158"/>
      <c r="I9" s="158"/>
      <c r="J9" s="158"/>
      <c r="K9" s="26"/>
    </row>
    <row r="10" spans="2:12" ht="14" customHeight="1" x14ac:dyDescent="0.2">
      <c r="B10" s="24" t="s">
        <v>108</v>
      </c>
      <c r="C10" s="267"/>
      <c r="D10" s="265">
        <f>'Income Statement'!H22</f>
        <v>434169</v>
      </c>
      <c r="E10" s="266">
        <f>'Income Statement'!M22</f>
        <v>567353</v>
      </c>
      <c r="F10" s="265">
        <f>'Income Statement'!R22</f>
        <v>632684.46368471521</v>
      </c>
      <c r="G10" s="305">
        <f>'Income Statement'!S22</f>
        <v>725942.19030324975</v>
      </c>
      <c r="H10" s="301">
        <f>'Income Statement'!T22</f>
        <v>828498.92233194504</v>
      </c>
      <c r="I10" s="265">
        <f>'Income Statement'!U22</f>
        <v>971855.02729852661</v>
      </c>
      <c r="J10" s="265">
        <f>'Income Statement'!V22</f>
        <v>1177914.0466783638</v>
      </c>
      <c r="K10" s="301">
        <f>'Income Statement'!W22</f>
        <v>1480083.8169180201</v>
      </c>
      <c r="L10" s="265">
        <f>'Income Statement'!X22</f>
        <v>1929253.65784059</v>
      </c>
    </row>
    <row r="11" spans="2:12" ht="14" customHeight="1" x14ac:dyDescent="0.2">
      <c r="B11" s="24" t="s">
        <v>202</v>
      </c>
      <c r="C11" s="161"/>
      <c r="D11" s="161">
        <v>274757</v>
      </c>
      <c r="E11" s="247">
        <v>247717</v>
      </c>
      <c r="F11" s="300">
        <f>-'Fixed Asset'!F11</f>
        <v>264789.70327408047</v>
      </c>
      <c r="G11" s="278">
        <f>-'Fixed Asset'!G11</f>
        <v>236070.06957874852</v>
      </c>
      <c r="H11" s="278">
        <f>-'Fixed Asset'!H11</f>
        <v>221366.16193745364</v>
      </c>
      <c r="I11" s="278">
        <f>-'Fixed Asset'!I11</f>
        <v>219853.4812705848</v>
      </c>
      <c r="J11" s="278">
        <f>-'Fixed Asset'!J11</f>
        <v>229351.09664395612</v>
      </c>
      <c r="K11" s="278">
        <f>-'Fixed Asset'!K11</f>
        <v>250024.8948124726</v>
      </c>
      <c r="L11" s="278">
        <f>-'Fixed Asset'!L11</f>
        <v>284073.4120385985</v>
      </c>
    </row>
    <row r="12" spans="2:12" ht="14" customHeight="1" x14ac:dyDescent="0.2">
      <c r="B12" s="24" t="s">
        <v>203</v>
      </c>
      <c r="C12" s="161"/>
      <c r="D12" s="161">
        <v>50873</v>
      </c>
      <c r="E12" s="247">
        <v>82418</v>
      </c>
      <c r="F12" s="247"/>
      <c r="G12" s="160"/>
      <c r="H12" s="160"/>
      <c r="I12" s="160"/>
      <c r="J12" s="160"/>
      <c r="K12" s="147"/>
    </row>
    <row r="13" spans="2:12" ht="14" customHeight="1" x14ac:dyDescent="0.2">
      <c r="B13" s="24" t="s">
        <v>204</v>
      </c>
      <c r="C13" s="271"/>
      <c r="D13" s="271">
        <f>-'Income Statement'!H19</f>
        <v>0</v>
      </c>
      <c r="E13" s="268">
        <f>-'Income Statement'!M19</f>
        <v>-3066</v>
      </c>
      <c r="F13" s="334">
        <f>0</f>
        <v>0</v>
      </c>
      <c r="G13" s="270">
        <f>0</f>
        <v>0</v>
      </c>
      <c r="H13" s="270">
        <f>G13</f>
        <v>0</v>
      </c>
      <c r="I13" s="270">
        <f>H13</f>
        <v>0</v>
      </c>
      <c r="J13" s="270">
        <f>I13</f>
        <v>0</v>
      </c>
      <c r="K13" s="270">
        <f>J13</f>
        <v>0</v>
      </c>
      <c r="L13" s="270">
        <f>K13</f>
        <v>0</v>
      </c>
    </row>
    <row r="14" spans="2:12" ht="14" customHeight="1" x14ac:dyDescent="0.2">
      <c r="B14" s="24" t="s">
        <v>205</v>
      </c>
      <c r="C14" s="161"/>
      <c r="D14" s="160">
        <v>36230</v>
      </c>
      <c r="E14" s="247">
        <v>-30291</v>
      </c>
      <c r="F14" s="334">
        <f>0</f>
        <v>0</v>
      </c>
      <c r="G14" s="270">
        <f>0</f>
        <v>0</v>
      </c>
      <c r="H14" s="270">
        <f t="shared" ref="H14:L20" si="0">G14</f>
        <v>0</v>
      </c>
      <c r="I14" s="270">
        <f t="shared" si="0"/>
        <v>0</v>
      </c>
      <c r="J14" s="270">
        <f t="shared" si="0"/>
        <v>0</v>
      </c>
      <c r="K14" s="270">
        <f t="shared" si="0"/>
        <v>0</v>
      </c>
      <c r="L14" s="270">
        <f t="shared" si="0"/>
        <v>0</v>
      </c>
    </row>
    <row r="15" spans="2:12" ht="14" customHeight="1" x14ac:dyDescent="0.2">
      <c r="B15" s="24" t="s">
        <v>206</v>
      </c>
      <c r="C15" s="161"/>
      <c r="D15" s="160">
        <v>-6964</v>
      </c>
      <c r="E15" s="247">
        <v>-2652</v>
      </c>
      <c r="F15" s="334">
        <f>0</f>
        <v>0</v>
      </c>
      <c r="G15" s="270">
        <f>0</f>
        <v>0</v>
      </c>
      <c r="H15" s="270">
        <f t="shared" si="0"/>
        <v>0</v>
      </c>
      <c r="I15" s="270">
        <f t="shared" si="0"/>
        <v>0</v>
      </c>
      <c r="J15" s="270">
        <f t="shared" si="0"/>
        <v>0</v>
      </c>
      <c r="K15" s="270">
        <f t="shared" si="0"/>
        <v>0</v>
      </c>
      <c r="L15" s="270">
        <f t="shared" si="0"/>
        <v>0</v>
      </c>
    </row>
    <row r="16" spans="2:12" ht="14" customHeight="1" x14ac:dyDescent="0.2">
      <c r="B16" s="24" t="s">
        <v>207</v>
      </c>
      <c r="C16" s="161"/>
      <c r="D16" s="160">
        <v>-2885</v>
      </c>
      <c r="E16" s="247">
        <v>-33187</v>
      </c>
      <c r="F16" s="334">
        <f>0</f>
        <v>0</v>
      </c>
      <c r="G16" s="270">
        <f>0</f>
        <v>0</v>
      </c>
      <c r="H16" s="270">
        <f t="shared" si="0"/>
        <v>0</v>
      </c>
      <c r="I16" s="270">
        <f t="shared" si="0"/>
        <v>0</v>
      </c>
      <c r="J16" s="270">
        <f t="shared" si="0"/>
        <v>0</v>
      </c>
      <c r="K16" s="270">
        <f t="shared" si="0"/>
        <v>0</v>
      </c>
      <c r="L16" s="270">
        <f t="shared" si="0"/>
        <v>0</v>
      </c>
    </row>
    <row r="17" spans="1:12" ht="14" customHeight="1" x14ac:dyDescent="0.2">
      <c r="B17" s="24" t="s">
        <v>208</v>
      </c>
      <c r="C17" s="161"/>
      <c r="D17" s="160">
        <v>15693</v>
      </c>
      <c r="E17" s="247">
        <v>-88847</v>
      </c>
      <c r="F17" s="334">
        <f>0</f>
        <v>0</v>
      </c>
      <c r="G17" s="270">
        <f>0</f>
        <v>0</v>
      </c>
      <c r="H17" s="270">
        <f t="shared" si="0"/>
        <v>0</v>
      </c>
      <c r="I17" s="270">
        <f t="shared" si="0"/>
        <v>0</v>
      </c>
      <c r="J17" s="270">
        <f t="shared" si="0"/>
        <v>0</v>
      </c>
      <c r="K17" s="270">
        <f t="shared" si="0"/>
        <v>0</v>
      </c>
      <c r="L17" s="270">
        <f t="shared" si="0"/>
        <v>0</v>
      </c>
    </row>
    <row r="18" spans="1:12" ht="14" customHeight="1" x14ac:dyDescent="0.2">
      <c r="B18" s="24" t="s">
        <v>209</v>
      </c>
      <c r="C18" s="161"/>
      <c r="D18" s="160">
        <v>-45792</v>
      </c>
      <c r="E18" s="247">
        <v>106163</v>
      </c>
      <c r="F18" s="334">
        <f>0</f>
        <v>0</v>
      </c>
      <c r="G18" s="270">
        <f>0</f>
        <v>0</v>
      </c>
      <c r="H18" s="270">
        <f t="shared" si="0"/>
        <v>0</v>
      </c>
      <c r="I18" s="270">
        <f t="shared" si="0"/>
        <v>0</v>
      </c>
      <c r="J18" s="270">
        <f t="shared" si="0"/>
        <v>0</v>
      </c>
      <c r="K18" s="270">
        <f t="shared" si="0"/>
        <v>0</v>
      </c>
      <c r="L18" s="270">
        <f t="shared" si="0"/>
        <v>0</v>
      </c>
    </row>
    <row r="19" spans="1:12" ht="14" customHeight="1" x14ac:dyDescent="0.2">
      <c r="B19" s="24" t="s">
        <v>210</v>
      </c>
      <c r="C19" s="161"/>
      <c r="D19" s="160">
        <v>120902</v>
      </c>
      <c r="E19" s="247">
        <v>404568</v>
      </c>
      <c r="F19" s="334">
        <f>0</f>
        <v>0</v>
      </c>
      <c r="G19" s="270">
        <f>0</f>
        <v>0</v>
      </c>
      <c r="H19" s="270">
        <f t="shared" si="0"/>
        <v>0</v>
      </c>
      <c r="I19" s="270">
        <f t="shared" si="0"/>
        <v>0</v>
      </c>
      <c r="J19" s="270">
        <f t="shared" si="0"/>
        <v>0</v>
      </c>
      <c r="K19" s="270">
        <f t="shared" si="0"/>
        <v>0</v>
      </c>
      <c r="L19" s="270">
        <f t="shared" si="0"/>
        <v>0</v>
      </c>
    </row>
    <row r="20" spans="1:12" ht="14" customHeight="1" x14ac:dyDescent="0.2">
      <c r="B20" s="24" t="s">
        <v>211</v>
      </c>
      <c r="C20" s="161"/>
      <c r="D20" s="160">
        <v>-24698</v>
      </c>
      <c r="E20" s="247">
        <v>7149</v>
      </c>
      <c r="F20" s="334">
        <f>0</f>
        <v>0</v>
      </c>
      <c r="G20" s="270">
        <f>0</f>
        <v>0</v>
      </c>
      <c r="H20" s="270">
        <f t="shared" si="0"/>
        <v>0</v>
      </c>
      <c r="I20" s="270">
        <f t="shared" si="0"/>
        <v>0</v>
      </c>
      <c r="J20" s="270">
        <f t="shared" si="0"/>
        <v>0</v>
      </c>
      <c r="K20" s="270">
        <f t="shared" si="0"/>
        <v>0</v>
      </c>
      <c r="L20" s="270">
        <f t="shared" si="0"/>
        <v>0</v>
      </c>
    </row>
    <row r="21" spans="1:12" ht="14" customHeight="1" x14ac:dyDescent="0.2">
      <c r="B21" s="20" t="s">
        <v>212</v>
      </c>
      <c r="C21" s="161"/>
      <c r="D21" s="179">
        <v>-145017</v>
      </c>
      <c r="E21" s="269">
        <v>-252026</v>
      </c>
      <c r="F21" s="338">
        <f>'Income Statement'!R23</f>
        <v>-174688.91711445298</v>
      </c>
      <c r="G21" s="277">
        <f>'Income Statement'!S23</f>
        <v>-200360.04452369694</v>
      </c>
      <c r="H21" s="277">
        <f>'Income Statement'!T23</f>
        <v>-228665.70256361685</v>
      </c>
      <c r="I21" s="277">
        <f>'Income Statement'!U23</f>
        <v>-268231.98753439338</v>
      </c>
      <c r="J21" s="277">
        <f>'Income Statement'!V23</f>
        <v>-325104.27688322845</v>
      </c>
      <c r="K21" s="277">
        <f>'Income Statement'!W23</f>
        <v>-408503.13346937357</v>
      </c>
      <c r="L21" s="277">
        <f>'Income Statement'!X23</f>
        <v>-532474.00956400286</v>
      </c>
    </row>
    <row r="22" spans="1:12" s="9" customFormat="1" ht="14" customHeight="1" x14ac:dyDescent="0.2">
      <c r="A22" s="9" t="s">
        <v>12</v>
      </c>
      <c r="B22" s="27" t="s">
        <v>222</v>
      </c>
      <c r="C22" s="182"/>
      <c r="D22" s="116">
        <f>SUM(D10:D21)</f>
        <v>707268</v>
      </c>
      <c r="E22" s="248">
        <f>SUM(E10:E21)</f>
        <v>1005299</v>
      </c>
      <c r="F22" s="248">
        <f t="shared" ref="F22:L22" si="1">SUM(F9:F21)</f>
        <v>722785.2498443427</v>
      </c>
      <c r="G22" s="116">
        <f t="shared" si="1"/>
        <v>761652.2153583013</v>
      </c>
      <c r="H22" s="116">
        <f t="shared" si="1"/>
        <v>821199.38170578168</v>
      </c>
      <c r="I22" s="116">
        <f t="shared" si="1"/>
        <v>923476.52103471803</v>
      </c>
      <c r="J22" s="116">
        <f t="shared" si="1"/>
        <v>1082160.8664390915</v>
      </c>
      <c r="K22" s="116">
        <f t="shared" si="1"/>
        <v>1321605.5782611193</v>
      </c>
      <c r="L22" s="116">
        <f t="shared" si="1"/>
        <v>1680853.0603151857</v>
      </c>
    </row>
    <row r="23" spans="1:12" s="9" customFormat="1" ht="14" customHeight="1" x14ac:dyDescent="0.2">
      <c r="B23" s="27"/>
      <c r="C23" s="163"/>
      <c r="D23" s="163"/>
      <c r="E23" s="248"/>
      <c r="F23" s="248"/>
      <c r="G23" s="116"/>
      <c r="H23" s="116"/>
      <c r="I23" s="116"/>
      <c r="J23" s="116"/>
      <c r="K23" s="29"/>
      <c r="L23" s="148"/>
    </row>
    <row r="24" spans="1:12" s="9" customFormat="1" ht="14" customHeight="1" x14ac:dyDescent="0.2">
      <c r="B24" s="27" t="s">
        <v>213</v>
      </c>
      <c r="C24" s="163"/>
      <c r="D24" s="163"/>
      <c r="E24" s="248"/>
      <c r="F24" s="248"/>
      <c r="G24" s="116"/>
      <c r="H24" s="116"/>
      <c r="I24" s="116"/>
      <c r="J24" s="116"/>
      <c r="K24" s="29"/>
      <c r="L24" s="148"/>
    </row>
    <row r="25" spans="1:12" ht="14" customHeight="1" x14ac:dyDescent="0.2">
      <c r="B25" s="24" t="s">
        <v>214</v>
      </c>
      <c r="C25" s="89"/>
      <c r="D25" s="89">
        <v>-184910</v>
      </c>
      <c r="E25" s="251">
        <v>-175647</v>
      </c>
      <c r="F25" s="300">
        <f>-'Fixed Asset'!F10</f>
        <v>-192197.897925</v>
      </c>
      <c r="G25" s="335">
        <f>-'Fixed Asset'!G10</f>
        <v>-198904.4423047062</v>
      </c>
      <c r="H25" s="278">
        <f>-'Fixed Asset'!H10</f>
        <v>-217542.70716468239</v>
      </c>
      <c r="I25" s="278">
        <f>-'Fixed Asset'!I10</f>
        <v>-243859.67347269037</v>
      </c>
      <c r="J25" s="278">
        <f>-'Fixed Asset'!J10</f>
        <v>-281606.23152470012</v>
      </c>
      <c r="K25" s="278">
        <f>-'Fixed Asset'!K10</f>
        <v>-336085.99716230819</v>
      </c>
      <c r="L25" s="278">
        <f>-'Fixed Asset'!L10</f>
        <v>-414719.01221542881</v>
      </c>
    </row>
    <row r="26" spans="1:12" ht="14" customHeight="1" x14ac:dyDescent="0.2">
      <c r="B26" s="24" t="s">
        <v>215</v>
      </c>
      <c r="C26" s="161"/>
      <c r="D26" s="160">
        <v>-171033</v>
      </c>
      <c r="E26" s="247">
        <v>-166340</v>
      </c>
      <c r="F26" s="55">
        <f t="shared" ref="F26:L28" si="2">E26</f>
        <v>-166340</v>
      </c>
      <c r="G26" s="160">
        <f t="shared" si="2"/>
        <v>-166340</v>
      </c>
      <c r="H26" s="160">
        <f t="shared" si="2"/>
        <v>-166340</v>
      </c>
      <c r="I26" s="160">
        <f t="shared" si="2"/>
        <v>-166340</v>
      </c>
      <c r="J26" s="160">
        <f t="shared" si="2"/>
        <v>-166340</v>
      </c>
      <c r="K26" s="160">
        <f t="shared" si="2"/>
        <v>-166340</v>
      </c>
      <c r="L26" s="160">
        <f t="shared" si="2"/>
        <v>-166340</v>
      </c>
    </row>
    <row r="27" spans="1:12" ht="14" customHeight="1" x14ac:dyDescent="0.2">
      <c r="B27" s="24" t="s">
        <v>216</v>
      </c>
      <c r="C27" s="161"/>
      <c r="D27" s="279">
        <v>377</v>
      </c>
      <c r="E27" s="270">
        <v>0</v>
      </c>
      <c r="F27" s="334">
        <f t="shared" si="2"/>
        <v>0</v>
      </c>
      <c r="G27" s="270">
        <f t="shared" si="2"/>
        <v>0</v>
      </c>
      <c r="H27" s="270">
        <f t="shared" si="2"/>
        <v>0</v>
      </c>
      <c r="I27" s="270">
        <f t="shared" si="2"/>
        <v>0</v>
      </c>
      <c r="J27" s="270">
        <f t="shared" si="2"/>
        <v>0</v>
      </c>
      <c r="K27" s="270">
        <f t="shared" si="2"/>
        <v>0</v>
      </c>
      <c r="L27" s="270">
        <f t="shared" si="2"/>
        <v>0</v>
      </c>
    </row>
    <row r="28" spans="1:12" ht="14" customHeight="1" x14ac:dyDescent="0.2">
      <c r="B28" s="24" t="s">
        <v>217</v>
      </c>
      <c r="C28" s="161"/>
      <c r="D28" s="279">
        <v>0</v>
      </c>
      <c r="E28" s="270">
        <v>0</v>
      </c>
      <c r="F28" s="334">
        <f t="shared" si="2"/>
        <v>0</v>
      </c>
      <c r="G28" s="270">
        <f t="shared" si="2"/>
        <v>0</v>
      </c>
      <c r="H28" s="270">
        <f t="shared" si="2"/>
        <v>0</v>
      </c>
      <c r="I28" s="270">
        <f t="shared" si="2"/>
        <v>0</v>
      </c>
      <c r="J28" s="270">
        <f t="shared" si="2"/>
        <v>0</v>
      </c>
      <c r="K28" s="270">
        <f t="shared" si="2"/>
        <v>0</v>
      </c>
      <c r="L28" s="270">
        <f t="shared" si="2"/>
        <v>0</v>
      </c>
    </row>
    <row r="29" spans="1:12" ht="14" customHeight="1" x14ac:dyDescent="0.2">
      <c r="B29" s="24" t="s">
        <v>218</v>
      </c>
      <c r="C29" s="161"/>
      <c r="D29" s="160">
        <v>1370</v>
      </c>
      <c r="E29" s="247">
        <v>2931</v>
      </c>
      <c r="F29" s="334">
        <v>0</v>
      </c>
      <c r="G29" s="270">
        <f t="shared" ref="G29:L31" si="3">F29</f>
        <v>0</v>
      </c>
      <c r="H29" s="270">
        <f t="shared" si="3"/>
        <v>0</v>
      </c>
      <c r="I29" s="270">
        <f t="shared" ref="I29:L30" si="4">H29</f>
        <v>0</v>
      </c>
      <c r="J29" s="270">
        <f t="shared" si="4"/>
        <v>0</v>
      </c>
      <c r="K29" s="270">
        <f t="shared" si="4"/>
        <v>0</v>
      </c>
      <c r="L29" s="270">
        <f t="shared" si="4"/>
        <v>0</v>
      </c>
    </row>
    <row r="30" spans="1:12" ht="14" customHeight="1" x14ac:dyDescent="0.2">
      <c r="B30" s="24" t="s">
        <v>219</v>
      </c>
      <c r="C30" s="161"/>
      <c r="D30" s="279">
        <v>37130</v>
      </c>
      <c r="E30" s="270">
        <v>0</v>
      </c>
      <c r="F30" s="334">
        <f>E30</f>
        <v>0</v>
      </c>
      <c r="G30" s="270">
        <f t="shared" si="3"/>
        <v>0</v>
      </c>
      <c r="H30" s="270">
        <f t="shared" si="3"/>
        <v>0</v>
      </c>
      <c r="I30" s="270">
        <f t="shared" si="4"/>
        <v>0</v>
      </c>
      <c r="J30" s="270">
        <f t="shared" si="4"/>
        <v>0</v>
      </c>
      <c r="K30" s="270">
        <f t="shared" si="4"/>
        <v>0</v>
      </c>
      <c r="L30" s="270">
        <f t="shared" si="4"/>
        <v>0</v>
      </c>
    </row>
    <row r="31" spans="1:12" ht="14" customHeight="1" x14ac:dyDescent="0.2">
      <c r="B31" s="20" t="s">
        <v>220</v>
      </c>
      <c r="C31" s="162"/>
      <c r="D31" s="121">
        <v>0</v>
      </c>
      <c r="E31" s="253">
        <v>18595</v>
      </c>
      <c r="F31" s="339">
        <v>0</v>
      </c>
      <c r="G31" s="336">
        <f t="shared" si="3"/>
        <v>0</v>
      </c>
      <c r="H31" s="337">
        <f t="shared" si="3"/>
        <v>0</v>
      </c>
      <c r="I31" s="337">
        <f t="shared" si="3"/>
        <v>0</v>
      </c>
      <c r="J31" s="337">
        <f t="shared" si="3"/>
        <v>0</v>
      </c>
      <c r="K31" s="337">
        <f t="shared" si="3"/>
        <v>0</v>
      </c>
      <c r="L31" s="337">
        <f t="shared" si="3"/>
        <v>0</v>
      </c>
    </row>
    <row r="32" spans="1:12" s="9" customFormat="1" ht="14" customHeight="1" x14ac:dyDescent="0.2">
      <c r="A32" s="9" t="s">
        <v>12</v>
      </c>
      <c r="B32" s="273" t="s">
        <v>221</v>
      </c>
      <c r="C32" s="182"/>
      <c r="D32" s="116">
        <f t="shared" ref="D32:L32" si="5">SUM(D25:D31)</f>
        <v>-317066</v>
      </c>
      <c r="E32" s="248">
        <f t="shared" si="5"/>
        <v>-320461</v>
      </c>
      <c r="F32" s="248">
        <f t="shared" si="5"/>
        <v>-358537.897925</v>
      </c>
      <c r="G32" s="116">
        <f t="shared" si="5"/>
        <v>-365244.4423047062</v>
      </c>
      <c r="H32" s="116">
        <f t="shared" si="5"/>
        <v>-383882.70716468239</v>
      </c>
      <c r="I32" s="116">
        <f t="shared" si="5"/>
        <v>-410199.6734726904</v>
      </c>
      <c r="J32" s="116">
        <f t="shared" si="5"/>
        <v>-447946.23152470012</v>
      </c>
      <c r="K32" s="116">
        <f t="shared" si="5"/>
        <v>-502425.99716230819</v>
      </c>
      <c r="L32" s="116">
        <f t="shared" si="5"/>
        <v>-581059.01221542875</v>
      </c>
    </row>
    <row r="33" spans="1:12" s="9" customFormat="1" ht="14" customHeight="1" x14ac:dyDescent="0.2">
      <c r="B33" s="27"/>
      <c r="C33" s="163"/>
      <c r="E33" s="163"/>
      <c r="F33" s="272"/>
      <c r="G33" s="180"/>
      <c r="H33" s="180"/>
      <c r="I33" s="180"/>
      <c r="J33" s="180"/>
      <c r="K33" s="29"/>
    </row>
    <row r="34" spans="1:12" s="9" customFormat="1" ht="14" customHeight="1" x14ac:dyDescent="0.2">
      <c r="B34" s="27" t="s">
        <v>223</v>
      </c>
      <c r="C34" s="149"/>
      <c r="D34" s="149"/>
      <c r="E34" s="274"/>
      <c r="F34" s="201"/>
      <c r="G34" s="149"/>
      <c r="H34" s="149"/>
      <c r="I34" s="149"/>
      <c r="J34" s="149"/>
      <c r="K34" s="29"/>
    </row>
    <row r="35" spans="1:12" ht="14" customHeight="1" x14ac:dyDescent="0.2">
      <c r="B35" s="24" t="s">
        <v>224</v>
      </c>
      <c r="C35" s="89"/>
      <c r="D35" s="89">
        <v>1994712</v>
      </c>
      <c r="E35" s="340">
        <v>0</v>
      </c>
      <c r="F35" s="334">
        <f t="shared" ref="F35:L35" si="6">E35</f>
        <v>0</v>
      </c>
      <c r="G35" s="270">
        <f t="shared" si="6"/>
        <v>0</v>
      </c>
      <c r="H35" s="270">
        <f t="shared" si="6"/>
        <v>0</v>
      </c>
      <c r="I35" s="270">
        <f t="shared" si="6"/>
        <v>0</v>
      </c>
      <c r="J35" s="270">
        <f t="shared" si="6"/>
        <v>0</v>
      </c>
      <c r="K35" s="270">
        <f t="shared" si="6"/>
        <v>0</v>
      </c>
      <c r="L35" s="270">
        <f t="shared" si="6"/>
        <v>0</v>
      </c>
    </row>
    <row r="36" spans="1:12" ht="14" customHeight="1" x14ac:dyDescent="0.2">
      <c r="B36" s="24" t="s">
        <v>225</v>
      </c>
      <c r="C36" s="134"/>
      <c r="D36" s="270">
        <v>0</v>
      </c>
      <c r="E36" s="247">
        <v>-700846</v>
      </c>
      <c r="F36" s="334">
        <v>0</v>
      </c>
      <c r="G36" s="270">
        <f t="shared" ref="G36:L37" si="7">F36</f>
        <v>0</v>
      </c>
      <c r="H36" s="270">
        <f t="shared" si="7"/>
        <v>0</v>
      </c>
      <c r="I36" s="270">
        <f t="shared" si="7"/>
        <v>0</v>
      </c>
      <c r="J36" s="270">
        <f t="shared" si="7"/>
        <v>0</v>
      </c>
      <c r="K36" s="270">
        <f t="shared" si="7"/>
        <v>0</v>
      </c>
      <c r="L36" s="270">
        <f t="shared" si="7"/>
        <v>0</v>
      </c>
    </row>
    <row r="37" spans="1:12" ht="13.5" customHeight="1" x14ac:dyDescent="0.2">
      <c r="B37" s="24" t="s">
        <v>226</v>
      </c>
      <c r="C37" s="134"/>
      <c r="D37" s="270">
        <v>0</v>
      </c>
      <c r="E37" s="247">
        <v>-500000</v>
      </c>
      <c r="F37" s="334">
        <v>0</v>
      </c>
      <c r="G37" s="270">
        <f t="shared" si="7"/>
        <v>0</v>
      </c>
      <c r="H37" s="270">
        <f t="shared" si="7"/>
        <v>0</v>
      </c>
      <c r="I37" s="270">
        <f t="shared" si="7"/>
        <v>0</v>
      </c>
      <c r="J37" s="270">
        <f t="shared" si="7"/>
        <v>0</v>
      </c>
      <c r="K37" s="270">
        <f t="shared" si="7"/>
        <v>0</v>
      </c>
      <c r="L37" s="270">
        <f t="shared" si="7"/>
        <v>0</v>
      </c>
    </row>
    <row r="38" spans="1:12" ht="13.5" customHeight="1" x14ac:dyDescent="0.2">
      <c r="B38" s="24" t="s">
        <v>227</v>
      </c>
      <c r="C38" s="134"/>
      <c r="D38" s="160">
        <v>123993</v>
      </c>
      <c r="E38" s="247">
        <v>-211832</v>
      </c>
      <c r="F38" s="334">
        <v>0</v>
      </c>
      <c r="G38" s="270">
        <f t="shared" ref="G38:H42" si="8">F38</f>
        <v>0</v>
      </c>
      <c r="H38" s="270">
        <f t="shared" si="8"/>
        <v>0</v>
      </c>
      <c r="I38" s="270">
        <f t="shared" ref="I38:L46" si="9">H38</f>
        <v>0</v>
      </c>
      <c r="J38" s="270">
        <f t="shared" si="9"/>
        <v>0</v>
      </c>
      <c r="K38" s="270">
        <f t="shared" si="9"/>
        <v>0</v>
      </c>
      <c r="L38" s="270">
        <f t="shared" si="9"/>
        <v>0</v>
      </c>
    </row>
    <row r="39" spans="1:12" ht="13.5" customHeight="1" x14ac:dyDescent="0.2">
      <c r="B39" s="24" t="s">
        <v>228</v>
      </c>
      <c r="C39" s="134"/>
      <c r="D39" s="270">
        <v>0</v>
      </c>
      <c r="E39" s="247">
        <v>462700</v>
      </c>
      <c r="F39" s="334">
        <v>0</v>
      </c>
      <c r="G39" s="270">
        <f t="shared" si="8"/>
        <v>0</v>
      </c>
      <c r="H39" s="270">
        <f t="shared" si="8"/>
        <v>0</v>
      </c>
      <c r="I39" s="270">
        <f t="shared" si="9"/>
        <v>0</v>
      </c>
      <c r="J39" s="270">
        <f t="shared" si="9"/>
        <v>0</v>
      </c>
      <c r="K39" s="270">
        <f t="shared" si="9"/>
        <v>0</v>
      </c>
      <c r="L39" s="270">
        <f t="shared" si="9"/>
        <v>0</v>
      </c>
    </row>
    <row r="40" spans="1:12" ht="13.5" customHeight="1" x14ac:dyDescent="0.2">
      <c r="B40" s="24" t="s">
        <v>229</v>
      </c>
      <c r="C40" s="134"/>
      <c r="D40" s="270">
        <v>0</v>
      </c>
      <c r="E40" s="247">
        <v>490729</v>
      </c>
      <c r="F40" s="334">
        <v>0</v>
      </c>
      <c r="G40" s="270">
        <f t="shared" si="8"/>
        <v>0</v>
      </c>
      <c r="H40" s="270">
        <f t="shared" si="8"/>
        <v>0</v>
      </c>
      <c r="I40" s="270">
        <f t="shared" si="9"/>
        <v>0</v>
      </c>
      <c r="J40" s="270">
        <f t="shared" si="9"/>
        <v>0</v>
      </c>
      <c r="K40" s="270">
        <f t="shared" si="9"/>
        <v>0</v>
      </c>
      <c r="L40" s="270">
        <f t="shared" si="9"/>
        <v>0</v>
      </c>
    </row>
    <row r="41" spans="1:12" ht="13.5" customHeight="1" x14ac:dyDescent="0.2">
      <c r="B41" s="24" t="s">
        <v>230</v>
      </c>
      <c r="C41" s="134"/>
      <c r="D41" s="160">
        <v>-2396422</v>
      </c>
      <c r="E41" s="247">
        <v>135094</v>
      </c>
      <c r="F41" s="334">
        <v>0</v>
      </c>
      <c r="G41" s="270">
        <f t="shared" si="8"/>
        <v>0</v>
      </c>
      <c r="H41" s="270">
        <f t="shared" si="8"/>
        <v>0</v>
      </c>
      <c r="I41" s="270">
        <f t="shared" si="9"/>
        <v>0</v>
      </c>
      <c r="J41" s="270">
        <f t="shared" si="9"/>
        <v>0</v>
      </c>
      <c r="K41" s="270">
        <f t="shared" si="9"/>
        <v>0</v>
      </c>
      <c r="L41" s="270">
        <f t="shared" si="9"/>
        <v>0</v>
      </c>
    </row>
    <row r="42" spans="1:12" ht="14" customHeight="1" x14ac:dyDescent="0.2">
      <c r="B42" s="24" t="s">
        <v>231</v>
      </c>
      <c r="C42" s="134"/>
      <c r="D42" s="160">
        <v>-11114</v>
      </c>
      <c r="E42" s="247">
        <v>15847</v>
      </c>
      <c r="F42" s="334">
        <v>0</v>
      </c>
      <c r="G42" s="270">
        <f t="shared" si="8"/>
        <v>0</v>
      </c>
      <c r="H42" s="270">
        <f t="shared" si="8"/>
        <v>0</v>
      </c>
      <c r="I42" s="270">
        <f t="shared" si="9"/>
        <v>0</v>
      </c>
      <c r="J42" s="270">
        <f t="shared" si="9"/>
        <v>0</v>
      </c>
      <c r="K42" s="270">
        <f t="shared" si="9"/>
        <v>0</v>
      </c>
      <c r="L42" s="270">
        <f t="shared" si="9"/>
        <v>0</v>
      </c>
    </row>
    <row r="43" spans="1:12" ht="14" customHeight="1" x14ac:dyDescent="0.2">
      <c r="B43" s="24" t="s">
        <v>232</v>
      </c>
      <c r="C43" s="134"/>
      <c r="D43" s="279">
        <v>-8500</v>
      </c>
      <c r="E43" s="270">
        <v>0</v>
      </c>
      <c r="F43" s="334">
        <f>E43</f>
        <v>0</v>
      </c>
      <c r="G43" s="270">
        <f>F43</f>
        <v>0</v>
      </c>
      <c r="H43" s="270">
        <f>G43</f>
        <v>0</v>
      </c>
      <c r="I43" s="270">
        <f t="shared" si="9"/>
        <v>0</v>
      </c>
      <c r="J43" s="270">
        <f t="shared" si="9"/>
        <v>0</v>
      </c>
      <c r="K43" s="270">
        <f t="shared" si="9"/>
        <v>0</v>
      </c>
      <c r="L43" s="270">
        <f t="shared" si="9"/>
        <v>0</v>
      </c>
    </row>
    <row r="44" spans="1:12" ht="14" customHeight="1" x14ac:dyDescent="0.2">
      <c r="B44" s="24" t="s">
        <v>233</v>
      </c>
      <c r="C44" s="134"/>
      <c r="D44" s="270">
        <v>0</v>
      </c>
      <c r="E44" s="247">
        <v>1384</v>
      </c>
      <c r="F44" s="334">
        <v>0</v>
      </c>
      <c r="G44" s="270">
        <f t="shared" ref="G44:H46" si="10">F44</f>
        <v>0</v>
      </c>
      <c r="H44" s="270">
        <f t="shared" si="10"/>
        <v>0</v>
      </c>
      <c r="I44" s="270">
        <f t="shared" si="9"/>
        <v>0</v>
      </c>
      <c r="J44" s="270">
        <f t="shared" si="9"/>
        <v>0</v>
      </c>
      <c r="K44" s="270">
        <f t="shared" si="9"/>
        <v>0</v>
      </c>
      <c r="L44" s="270">
        <f t="shared" si="9"/>
        <v>0</v>
      </c>
    </row>
    <row r="45" spans="1:12" ht="14" customHeight="1" x14ac:dyDescent="0.2">
      <c r="B45" s="24" t="s">
        <v>234</v>
      </c>
      <c r="C45" s="161"/>
      <c r="D45" s="270">
        <v>0</v>
      </c>
      <c r="E45" s="247">
        <v>-86905</v>
      </c>
      <c r="F45" s="334">
        <v>0</v>
      </c>
      <c r="G45" s="270">
        <f t="shared" si="10"/>
        <v>0</v>
      </c>
      <c r="H45" s="270">
        <f t="shared" si="10"/>
        <v>0</v>
      </c>
      <c r="I45" s="270">
        <f t="shared" si="9"/>
        <v>0</v>
      </c>
      <c r="J45" s="270">
        <f t="shared" si="9"/>
        <v>0</v>
      </c>
      <c r="K45" s="270">
        <f t="shared" si="9"/>
        <v>0</v>
      </c>
      <c r="L45" s="270">
        <f t="shared" si="9"/>
        <v>0</v>
      </c>
    </row>
    <row r="46" spans="1:12" ht="14" customHeight="1" x14ac:dyDescent="0.2">
      <c r="B46" s="20" t="s">
        <v>235</v>
      </c>
      <c r="C46" s="162"/>
      <c r="D46" s="121">
        <v>-53942</v>
      </c>
      <c r="E46" s="253">
        <v>-17207</v>
      </c>
      <c r="F46" s="253">
        <f>E46</f>
        <v>-17207</v>
      </c>
      <c r="G46" s="121">
        <f t="shared" si="10"/>
        <v>-17207</v>
      </c>
      <c r="H46" s="121">
        <f t="shared" si="10"/>
        <v>-17207</v>
      </c>
      <c r="I46" s="121">
        <f t="shared" si="9"/>
        <v>-17207</v>
      </c>
      <c r="J46" s="121">
        <f t="shared" si="9"/>
        <v>-17207</v>
      </c>
      <c r="K46" s="121">
        <f t="shared" si="9"/>
        <v>-17207</v>
      </c>
      <c r="L46" s="121">
        <f t="shared" si="9"/>
        <v>-17207</v>
      </c>
    </row>
    <row r="47" spans="1:12" ht="14" customHeight="1" x14ac:dyDescent="0.2">
      <c r="A47" s="1" t="s">
        <v>12</v>
      </c>
      <c r="B47" s="9" t="s">
        <v>236</v>
      </c>
      <c r="C47" s="115"/>
      <c r="D47" s="115">
        <f t="shared" ref="D47:L47" si="11">SUM(D35:D46)</f>
        <v>-351273</v>
      </c>
      <c r="E47" s="115">
        <f t="shared" si="11"/>
        <v>-411036</v>
      </c>
      <c r="F47" s="341">
        <f t="shared" si="11"/>
        <v>-17207</v>
      </c>
      <c r="G47" s="129">
        <f t="shared" si="11"/>
        <v>-17207</v>
      </c>
      <c r="H47" s="129">
        <f t="shared" si="11"/>
        <v>-17207</v>
      </c>
      <c r="I47" s="129">
        <f t="shared" si="11"/>
        <v>-17207</v>
      </c>
      <c r="J47" s="129">
        <f t="shared" si="11"/>
        <v>-17207</v>
      </c>
      <c r="K47" s="129">
        <f t="shared" si="11"/>
        <v>-17207</v>
      </c>
      <c r="L47" s="129">
        <f t="shared" si="11"/>
        <v>-17207</v>
      </c>
    </row>
    <row r="48" spans="1:12" ht="14" customHeight="1" x14ac:dyDescent="0.2">
      <c r="F48" s="14"/>
      <c r="K48" s="26"/>
    </row>
    <row r="49" spans="1:20" s="9" customFormat="1" ht="14" customHeight="1" x14ac:dyDescent="0.2">
      <c r="B49" s="20" t="s">
        <v>237</v>
      </c>
      <c r="C49" s="275"/>
      <c r="D49" s="121">
        <v>9546</v>
      </c>
      <c r="E49" s="121">
        <v>1229</v>
      </c>
      <c r="F49" s="339">
        <v>0</v>
      </c>
      <c r="G49" s="336">
        <v>0</v>
      </c>
      <c r="H49" s="337">
        <f>G49</f>
        <v>0</v>
      </c>
      <c r="I49" s="337">
        <f>H49</f>
        <v>0</v>
      </c>
      <c r="J49" s="337">
        <f>I49</f>
        <v>0</v>
      </c>
      <c r="K49" s="337">
        <f>J49</f>
        <v>0</v>
      </c>
      <c r="L49" s="337">
        <f>K49</f>
        <v>0</v>
      </c>
    </row>
    <row r="50" spans="1:20" ht="14" customHeight="1" x14ac:dyDescent="0.2">
      <c r="B50" s="9" t="s">
        <v>238</v>
      </c>
      <c r="C50" s="165"/>
      <c r="D50" s="115">
        <f>D49+D47+D32+D22</f>
        <v>48475</v>
      </c>
      <c r="E50" s="115">
        <f>E49+E47+E32+E22</f>
        <v>275031</v>
      </c>
      <c r="F50" s="342">
        <f t="shared" ref="F50:L50" si="12">F49+F47+F32+F22</f>
        <v>347040.35191934271</v>
      </c>
      <c r="G50" s="115">
        <f t="shared" si="12"/>
        <v>379200.7730535951</v>
      </c>
      <c r="H50" s="115">
        <f t="shared" si="12"/>
        <v>420109.67454109929</v>
      </c>
      <c r="I50" s="115">
        <f t="shared" si="12"/>
        <v>496069.84756202763</v>
      </c>
      <c r="J50" s="115">
        <f t="shared" si="12"/>
        <v>617007.63491439144</v>
      </c>
      <c r="K50" s="115">
        <f t="shared" si="12"/>
        <v>801972.58109881112</v>
      </c>
      <c r="L50" s="115">
        <f t="shared" si="12"/>
        <v>1082587.0480997569</v>
      </c>
    </row>
    <row r="51" spans="1:20" ht="14" customHeight="1" x14ac:dyDescent="0.2">
      <c r="A51" s="1" t="s">
        <v>12</v>
      </c>
      <c r="B51" s="24"/>
      <c r="C51" s="120"/>
      <c r="D51" s="120"/>
      <c r="E51" s="120"/>
      <c r="F51" s="276"/>
      <c r="G51" s="120"/>
      <c r="H51" s="120"/>
      <c r="I51" s="120"/>
      <c r="J51" s="120"/>
      <c r="K51" s="26"/>
    </row>
    <row r="52" spans="1:20" s="9" customFormat="1" ht="14" customHeight="1" x14ac:dyDescent="0.2">
      <c r="B52" s="24" t="s">
        <v>239</v>
      </c>
      <c r="C52" s="22"/>
      <c r="D52" s="176">
        <v>134278</v>
      </c>
      <c r="E52" s="278">
        <f>'Balance Sheet'!D9</f>
        <v>182753</v>
      </c>
      <c r="F52" s="278">
        <f>'Balance Sheet'!E9</f>
        <v>457784</v>
      </c>
      <c r="G52" s="278">
        <f>'Balance Sheet'!F9</f>
        <v>804824.35191934276</v>
      </c>
      <c r="H52" s="278">
        <f>'Balance Sheet'!G9</f>
        <v>1184025.1249729379</v>
      </c>
      <c r="I52" s="278">
        <f>'Balance Sheet'!H9</f>
        <v>1604134.7995140371</v>
      </c>
      <c r="J52" s="278">
        <f>'Balance Sheet'!I9</f>
        <v>2100204.6470760647</v>
      </c>
      <c r="K52" s="278">
        <f>'Balance Sheet'!J9</f>
        <v>2717212.2819904564</v>
      </c>
      <c r="L52" s="278">
        <f>'Balance Sheet'!K9</f>
        <v>3519184.8630892676</v>
      </c>
    </row>
    <row r="53" spans="1:20" ht="14" customHeight="1" x14ac:dyDescent="0.2">
      <c r="A53" s="1" t="s">
        <v>12</v>
      </c>
      <c r="B53" s="24" t="s">
        <v>240</v>
      </c>
      <c r="C53" s="85"/>
      <c r="D53" s="89">
        <f>D52+D50</f>
        <v>182753</v>
      </c>
      <c r="E53" s="251">
        <f>E50+E52</f>
        <v>457784</v>
      </c>
      <c r="F53" s="343">
        <f>F50+F52</f>
        <v>804824.35191934276</v>
      </c>
      <c r="G53" s="343">
        <f t="shared" ref="G53:L53" si="13">G50+G52</f>
        <v>1184025.1249729379</v>
      </c>
      <c r="H53" s="343">
        <f t="shared" si="13"/>
        <v>1604134.7995140371</v>
      </c>
      <c r="I53" s="343">
        <f t="shared" si="13"/>
        <v>2100204.6470760647</v>
      </c>
      <c r="J53" s="343">
        <f t="shared" si="13"/>
        <v>2717212.2819904564</v>
      </c>
      <c r="K53" s="343">
        <f t="shared" si="13"/>
        <v>3519184.8630892676</v>
      </c>
      <c r="L53" s="343">
        <f t="shared" si="13"/>
        <v>4601771.9111890243</v>
      </c>
    </row>
    <row r="54" spans="1:20" s="9" customFormat="1" ht="14" customHeight="1" x14ac:dyDescent="0.2">
      <c r="B54" s="24"/>
      <c r="C54" s="85"/>
      <c r="D54" s="85"/>
      <c r="E54" s="159"/>
      <c r="F54" s="159"/>
      <c r="G54" s="159"/>
      <c r="H54" s="159"/>
      <c r="I54" s="159"/>
      <c r="J54" s="159"/>
    </row>
    <row r="55" spans="1:20" s="9" customFormat="1" ht="14" customHeight="1" x14ac:dyDescent="0.2">
      <c r="A55" s="9" t="s">
        <v>12</v>
      </c>
      <c r="B55" s="24"/>
      <c r="C55" s="85"/>
      <c r="D55" s="85"/>
      <c r="E55" s="159"/>
      <c r="F55" s="159"/>
      <c r="G55" s="159"/>
      <c r="H55" s="159"/>
      <c r="I55" s="159"/>
      <c r="J55" s="159"/>
    </row>
    <row r="56" spans="1:20" ht="14" customHeight="1" x14ac:dyDescent="0.2">
      <c r="B56" s="24"/>
      <c r="C56" s="22"/>
      <c r="D56" s="22"/>
      <c r="E56" s="157"/>
      <c r="F56" s="157"/>
      <c r="G56" s="157"/>
      <c r="H56" s="157"/>
      <c r="I56" s="157"/>
      <c r="J56" s="157"/>
    </row>
    <row r="57" spans="1:20" ht="14" customHeight="1" x14ac:dyDescent="0.2">
      <c r="B57" s="24"/>
      <c r="C57" s="22"/>
      <c r="D57" s="22"/>
      <c r="E57" s="39"/>
      <c r="F57" s="39"/>
      <c r="G57" s="39"/>
      <c r="H57" s="39"/>
      <c r="I57" s="39"/>
      <c r="J57" s="39"/>
    </row>
    <row r="59" spans="1:20" ht="14" customHeight="1" x14ac:dyDescent="0.2">
      <c r="K59" s="26"/>
      <c r="N59" s="187" t="s">
        <v>146</v>
      </c>
      <c r="O59" s="188" t="e">
        <f>-(#REF!-E34)</f>
        <v>#REF!</v>
      </c>
      <c r="P59" s="188" t="e">
        <f>-(#REF!-F34)</f>
        <v>#REF!</v>
      </c>
      <c r="Q59" s="188" t="e">
        <f>-(#REF!-G34)</f>
        <v>#REF!</v>
      </c>
      <c r="R59" s="188" t="e">
        <f>-(#REF!-H34)</f>
        <v>#REF!</v>
      </c>
      <c r="S59" s="188" t="e">
        <f>-(#REF!-I34)</f>
        <v>#REF!</v>
      </c>
      <c r="T59" s="188" t="e">
        <f>-(#REF!-J34)</f>
        <v>#REF!</v>
      </c>
    </row>
    <row r="61" spans="1:20" ht="14" customHeight="1" x14ac:dyDescent="0.2">
      <c r="A61" s="1" t="s">
        <v>12</v>
      </c>
    </row>
  </sheetData>
  <mergeCells count="3">
    <mergeCell ref="C1:E1"/>
    <mergeCell ref="C6:E6"/>
    <mergeCell ref="G6:L6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M35"/>
  <sheetViews>
    <sheetView showGridLines="0" workbookViewId="0">
      <selection activeCell="F16" sqref="F16"/>
    </sheetView>
  </sheetViews>
  <sheetFormatPr baseColWidth="10" defaultColWidth="8.5" defaultRowHeight="14" customHeight="1" x14ac:dyDescent="0.2"/>
  <cols>
    <col min="1" max="1" width="1.5" style="1" customWidth="1"/>
    <col min="2" max="2" width="40.5" style="1" customWidth="1"/>
    <col min="3" max="11" width="10.5" style="1" customWidth="1"/>
    <col min="12" max="16384" width="8.5" style="1"/>
  </cols>
  <sheetData>
    <row r="1" spans="1:13" ht="21" x14ac:dyDescent="0.3">
      <c r="B1" s="8" t="s">
        <v>188</v>
      </c>
      <c r="D1" s="476" t="s">
        <v>126</v>
      </c>
      <c r="E1" s="477"/>
      <c r="F1" s="478"/>
    </row>
    <row r="2" spans="1:13" ht="14" customHeight="1" x14ac:dyDescent="0.2">
      <c r="B2" s="1" t="s">
        <v>163</v>
      </c>
      <c r="D2" s="136" t="s">
        <v>123</v>
      </c>
      <c r="E2" s="137" t="s">
        <v>124</v>
      </c>
      <c r="F2" s="138" t="s">
        <v>125</v>
      </c>
      <c r="H2" s="139" t="s">
        <v>130</v>
      </c>
    </row>
    <row r="4" spans="1:13" ht="14" customHeight="1" x14ac:dyDescent="0.2">
      <c r="B4" s="9" t="s">
        <v>17</v>
      </c>
    </row>
    <row r="5" spans="1:13" ht="14" customHeight="1" x14ac:dyDescent="0.2">
      <c r="B5" s="10" t="s">
        <v>172</v>
      </c>
    </row>
    <row r="6" spans="1:13" ht="14" customHeight="1" x14ac:dyDescent="0.2">
      <c r="C6" s="484" t="s">
        <v>7</v>
      </c>
      <c r="D6" s="485"/>
      <c r="E6" s="486"/>
      <c r="F6" s="67" t="s">
        <v>116</v>
      </c>
      <c r="G6" s="487" t="s">
        <v>8</v>
      </c>
      <c r="H6" s="488"/>
      <c r="I6" s="488"/>
      <c r="J6" s="488"/>
      <c r="K6" s="488"/>
      <c r="L6" s="488"/>
      <c r="M6" s="108"/>
    </row>
    <row r="7" spans="1:13" ht="14" customHeight="1" x14ac:dyDescent="0.2">
      <c r="B7" s="1" t="s">
        <v>268</v>
      </c>
      <c r="C7" s="69">
        <v>2014</v>
      </c>
      <c r="D7" s="70">
        <v>2015</v>
      </c>
      <c r="E7" s="71">
        <v>2016</v>
      </c>
      <c r="F7" s="68">
        <v>2017</v>
      </c>
      <c r="G7" s="13">
        <v>2018</v>
      </c>
      <c r="H7" s="12">
        <v>2019</v>
      </c>
      <c r="I7" s="12">
        <v>2020</v>
      </c>
      <c r="J7" s="12">
        <v>2021</v>
      </c>
      <c r="K7" s="12">
        <v>2022</v>
      </c>
      <c r="L7" s="12">
        <v>2023</v>
      </c>
      <c r="M7" s="299"/>
    </row>
    <row r="8" spans="1:13" ht="14" customHeight="1" x14ac:dyDescent="0.2">
      <c r="B8" s="26"/>
      <c r="C8" s="26"/>
      <c r="D8" s="26"/>
      <c r="E8" s="26"/>
      <c r="F8" s="14"/>
      <c r="G8" s="26"/>
      <c r="H8" s="26"/>
      <c r="I8" s="26"/>
    </row>
    <row r="9" spans="1:13" ht="14" customHeight="1" x14ac:dyDescent="0.2">
      <c r="A9" s="1" t="s">
        <v>12</v>
      </c>
      <c r="B9" s="24" t="s">
        <v>18</v>
      </c>
      <c r="C9" s="25"/>
      <c r="D9" s="25"/>
      <c r="E9" s="25"/>
      <c r="F9" s="171">
        <f>'Balance Sheet'!E20</f>
        <v>669283</v>
      </c>
      <c r="G9" s="158">
        <f t="shared" ref="G9:L9" si="0">F12</f>
        <v>596691.19465091941</v>
      </c>
      <c r="H9" s="158">
        <f t="shared" si="0"/>
        <v>559525.56737687706</v>
      </c>
      <c r="I9" s="158">
        <f t="shared" si="0"/>
        <v>555702.11260410573</v>
      </c>
      <c r="J9" s="158">
        <f t="shared" si="0"/>
        <v>579708.30480621126</v>
      </c>
      <c r="K9" s="158">
        <f t="shared" si="0"/>
        <v>631963.43968695519</v>
      </c>
      <c r="L9" s="158">
        <f t="shared" si="0"/>
        <v>718024.54203679075</v>
      </c>
    </row>
    <row r="10" spans="1:13" ht="14" customHeight="1" x14ac:dyDescent="0.2">
      <c r="B10" s="24" t="s">
        <v>19</v>
      </c>
      <c r="C10" s="160"/>
      <c r="D10" s="278">
        <f>-'Cash Flows'!D25</f>
        <v>184910</v>
      </c>
      <c r="E10" s="278">
        <f>-'Cash Flows'!E25</f>
        <v>175647</v>
      </c>
      <c r="F10" s="174">
        <f t="shared" ref="F10:L10" si="1">F16*F15</f>
        <v>192197.897925</v>
      </c>
      <c r="G10" s="175">
        <f t="shared" si="1"/>
        <v>198904.4423047062</v>
      </c>
      <c r="H10" s="176">
        <f t="shared" si="1"/>
        <v>217542.70716468239</v>
      </c>
      <c r="I10" s="176">
        <f t="shared" si="1"/>
        <v>243859.67347269037</v>
      </c>
      <c r="J10" s="176">
        <f t="shared" si="1"/>
        <v>281606.23152470012</v>
      </c>
      <c r="K10" s="176">
        <f t="shared" si="1"/>
        <v>336085.99716230819</v>
      </c>
      <c r="L10" s="176">
        <f t="shared" si="1"/>
        <v>414719.01221542881</v>
      </c>
    </row>
    <row r="11" spans="1:13" s="9" customFormat="1" ht="14" customHeight="1" x14ac:dyDescent="0.2">
      <c r="B11" s="20" t="s">
        <v>20</v>
      </c>
      <c r="C11" s="121"/>
      <c r="D11" s="277">
        <f>-'Cash Flows'!D11</f>
        <v>-274757</v>
      </c>
      <c r="E11" s="277">
        <f>-'Cash Flows'!E11</f>
        <v>-247717</v>
      </c>
      <c r="F11" s="177">
        <f t="shared" ref="F11:L11" si="2">F17*F18</f>
        <v>-264789.70327408047</v>
      </c>
      <c r="G11" s="178">
        <f t="shared" si="2"/>
        <v>-236070.06957874852</v>
      </c>
      <c r="H11" s="179">
        <f t="shared" si="2"/>
        <v>-221366.16193745364</v>
      </c>
      <c r="I11" s="179">
        <f t="shared" si="2"/>
        <v>-219853.4812705848</v>
      </c>
      <c r="J11" s="179">
        <f t="shared" si="2"/>
        <v>-229351.09664395612</v>
      </c>
      <c r="K11" s="179">
        <f t="shared" si="2"/>
        <v>-250024.8948124726</v>
      </c>
      <c r="L11" s="179">
        <f t="shared" si="2"/>
        <v>-284073.4120385985</v>
      </c>
    </row>
    <row r="12" spans="1:13" s="9" customFormat="1" ht="14" customHeight="1" x14ac:dyDescent="0.2">
      <c r="A12" s="9" t="s">
        <v>12</v>
      </c>
      <c r="B12" s="27" t="s">
        <v>21</v>
      </c>
      <c r="C12" s="30"/>
      <c r="D12" s="30"/>
      <c r="E12" s="30"/>
      <c r="F12" s="212">
        <f t="shared" ref="F12:L12" si="3">SUM(F9:F11)</f>
        <v>596691.19465091941</v>
      </c>
      <c r="G12" s="184">
        <f t="shared" si="3"/>
        <v>559525.56737687706</v>
      </c>
      <c r="H12" s="185">
        <f t="shared" si="3"/>
        <v>555702.11260410573</v>
      </c>
      <c r="I12" s="185">
        <f t="shared" si="3"/>
        <v>579708.30480621126</v>
      </c>
      <c r="J12" s="185">
        <f t="shared" si="3"/>
        <v>631963.43968695519</v>
      </c>
      <c r="K12" s="185">
        <f t="shared" si="3"/>
        <v>718024.54203679075</v>
      </c>
      <c r="L12" s="185">
        <f t="shared" si="3"/>
        <v>848670.14221362118</v>
      </c>
    </row>
    <row r="13" spans="1:13" ht="14" customHeight="1" x14ac:dyDescent="0.2">
      <c r="B13" s="24"/>
      <c r="C13" s="25"/>
      <c r="D13" s="25"/>
      <c r="E13" s="25"/>
      <c r="F13" s="16"/>
      <c r="G13" s="25"/>
      <c r="H13" s="25"/>
      <c r="I13" s="26"/>
    </row>
    <row r="14" spans="1:13" s="9" customFormat="1" ht="14" customHeight="1" x14ac:dyDescent="0.2">
      <c r="A14" s="9" t="s">
        <v>12</v>
      </c>
      <c r="B14" s="27" t="s">
        <v>6</v>
      </c>
      <c r="C14" s="30"/>
      <c r="D14" s="30"/>
      <c r="E14" s="30"/>
      <c r="F14" s="36"/>
      <c r="G14" s="34"/>
      <c r="H14" s="34"/>
      <c r="I14" s="29"/>
    </row>
    <row r="15" spans="1:13" ht="14" customHeight="1" x14ac:dyDescent="0.2">
      <c r="B15" s="33" t="s">
        <v>104</v>
      </c>
      <c r="C15" s="170"/>
      <c r="D15" s="170">
        <f>'Income Statement'!H13</f>
        <v>2854369</v>
      </c>
      <c r="E15" s="170">
        <f>'Income Statement'!M13</f>
        <v>3105084</v>
      </c>
      <c r="F15" s="171">
        <f>'Income Statement'!R13</f>
        <v>3494507.2349999999</v>
      </c>
      <c r="G15" s="170">
        <f>'Income Statement'!S13</f>
        <v>3978088.8460941236</v>
      </c>
      <c r="H15" s="170">
        <f>'Income Statement'!T13</f>
        <v>4579846.4666248923</v>
      </c>
      <c r="I15" s="170">
        <f>'Income Statement'!U13</f>
        <v>5419103.8549486753</v>
      </c>
      <c r="J15" s="170">
        <f>'Income Statement'!V13</f>
        <v>6626028.9770517675</v>
      </c>
      <c r="K15" s="170">
        <f>'Income Statement'!W13</f>
        <v>8402149.9290577043</v>
      </c>
      <c r="L15" s="170">
        <f>'Income Statement'!X13</f>
        <v>11059173.659078103</v>
      </c>
    </row>
    <row r="16" spans="1:13" s="9" customFormat="1" ht="14" customHeight="1" x14ac:dyDescent="0.2">
      <c r="B16" s="33" t="s">
        <v>144</v>
      </c>
      <c r="C16" s="23"/>
      <c r="D16" s="23">
        <f>D10/D15</f>
        <v>6.4781393015409014E-2</v>
      </c>
      <c r="E16" s="23">
        <f>E10/E15</f>
        <v>5.6567551795700215E-2</v>
      </c>
      <c r="F16" s="172">
        <v>5.5E-2</v>
      </c>
      <c r="G16" s="38">
        <v>0.05</v>
      </c>
      <c r="H16" s="38">
        <v>4.7500000000000001E-2</v>
      </c>
      <c r="I16" s="38">
        <v>4.4999999999999998E-2</v>
      </c>
      <c r="J16" s="38">
        <v>4.2500000000000003E-2</v>
      </c>
      <c r="K16" s="38">
        <v>0.04</v>
      </c>
      <c r="L16" s="38">
        <v>3.7499999999999999E-2</v>
      </c>
    </row>
    <row r="17" spans="2:12" s="9" customFormat="1" ht="14" customHeight="1" x14ac:dyDescent="0.2">
      <c r="B17" s="33" t="s">
        <v>18</v>
      </c>
      <c r="C17" s="28"/>
      <c r="D17" s="28"/>
      <c r="E17" s="301">
        <f>'Balance Sheet'!D20</f>
        <v>626130</v>
      </c>
      <c r="F17" s="302">
        <f>'Balance Sheet'!E20</f>
        <v>669283</v>
      </c>
      <c r="G17" s="301">
        <f>'Balance Sheet'!F20</f>
        <v>596691.19465091941</v>
      </c>
      <c r="H17" s="301">
        <f>'Balance Sheet'!G20</f>
        <v>559525.56737687706</v>
      </c>
      <c r="I17" s="301">
        <f>'Balance Sheet'!H20</f>
        <v>555702.11260410573</v>
      </c>
      <c r="J17" s="301">
        <f>'Balance Sheet'!I20</f>
        <v>579708.30480621126</v>
      </c>
      <c r="K17" s="301">
        <f>'Balance Sheet'!J20</f>
        <v>631963.43968695519</v>
      </c>
      <c r="L17" s="301">
        <f>'Balance Sheet'!K20</f>
        <v>718024.54203679075</v>
      </c>
    </row>
    <row r="18" spans="2:12" ht="14" customHeight="1" x14ac:dyDescent="0.2">
      <c r="B18" s="33" t="s">
        <v>269</v>
      </c>
      <c r="C18" s="25"/>
      <c r="D18" s="25"/>
      <c r="E18" s="283">
        <f>E11/E17</f>
        <v>-0.39563189752926708</v>
      </c>
      <c r="F18" s="303">
        <f t="shared" ref="F18:L18" si="4">E18</f>
        <v>-0.39563189752926708</v>
      </c>
      <c r="G18" s="291">
        <f t="shared" si="4"/>
        <v>-0.39563189752926708</v>
      </c>
      <c r="H18" s="291">
        <f t="shared" si="4"/>
        <v>-0.39563189752926708</v>
      </c>
      <c r="I18" s="291">
        <f t="shared" si="4"/>
        <v>-0.39563189752926708</v>
      </c>
      <c r="J18" s="291">
        <f t="shared" si="4"/>
        <v>-0.39563189752926708</v>
      </c>
      <c r="K18" s="291">
        <f t="shared" si="4"/>
        <v>-0.39563189752926708</v>
      </c>
      <c r="L18" s="291">
        <f t="shared" si="4"/>
        <v>-0.39563189752926708</v>
      </c>
    </row>
    <row r="19" spans="2:12" s="9" customFormat="1" ht="14" customHeight="1" x14ac:dyDescent="0.2">
      <c r="B19" s="27"/>
      <c r="C19" s="30"/>
      <c r="D19" s="30"/>
      <c r="E19" s="30"/>
      <c r="F19" s="30"/>
      <c r="G19" s="30"/>
      <c r="H19" s="30"/>
      <c r="I19" s="29"/>
    </row>
    <row r="20" spans="2:12" ht="14" customHeight="1" x14ac:dyDescent="0.2">
      <c r="B20" s="31"/>
      <c r="C20" s="25"/>
      <c r="D20" s="25"/>
      <c r="E20" s="25"/>
      <c r="F20" s="28"/>
      <c r="G20" s="25"/>
      <c r="H20" s="25"/>
      <c r="I20" s="26"/>
    </row>
    <row r="21" spans="2:12" s="9" customFormat="1" ht="14" customHeight="1" x14ac:dyDescent="0.2">
      <c r="B21" s="31"/>
      <c r="C21" s="30"/>
      <c r="D21" s="30"/>
      <c r="E21" s="30"/>
      <c r="F21" s="30"/>
      <c r="G21" s="30"/>
      <c r="H21" s="30"/>
      <c r="I21" s="29"/>
    </row>
    <row r="22" spans="2:12" s="9" customFormat="1" ht="14" customHeight="1" x14ac:dyDescent="0.2">
      <c r="B22" s="29"/>
      <c r="C22" s="28"/>
      <c r="D22" s="28"/>
      <c r="E22" s="28"/>
      <c r="F22" s="28"/>
      <c r="G22" s="28"/>
      <c r="H22" s="28"/>
      <c r="I22" s="29"/>
    </row>
    <row r="23" spans="2:12" ht="14" customHeight="1" x14ac:dyDescent="0.2">
      <c r="B23" s="24"/>
      <c r="C23" s="25"/>
      <c r="D23" s="25"/>
      <c r="E23" s="25"/>
      <c r="F23" s="28"/>
      <c r="G23" s="28"/>
      <c r="H23" s="28"/>
      <c r="I23" s="26"/>
    </row>
    <row r="24" spans="2:12" ht="14" customHeight="1" x14ac:dyDescent="0.2">
      <c r="B24" s="24"/>
      <c r="C24" s="26"/>
      <c r="D24" s="26"/>
      <c r="E24" s="26"/>
      <c r="F24" s="25"/>
      <c r="G24" s="26"/>
      <c r="H24" s="26"/>
      <c r="I24" s="26"/>
    </row>
    <row r="25" spans="2:12" ht="14" customHeight="1" x14ac:dyDescent="0.2">
      <c r="B25" s="24"/>
      <c r="C25" s="28"/>
      <c r="D25" s="28"/>
      <c r="E25" s="28"/>
      <c r="F25" s="25"/>
      <c r="G25" s="28"/>
      <c r="H25" s="28"/>
      <c r="I25" s="26"/>
    </row>
    <row r="26" spans="2:12" ht="14" customHeight="1" x14ac:dyDescent="0.2">
      <c r="B26" s="24"/>
      <c r="C26" s="26"/>
      <c r="D26" s="26"/>
      <c r="E26" s="26"/>
      <c r="F26" s="25"/>
      <c r="G26" s="26"/>
      <c r="H26" s="26"/>
      <c r="I26" s="26"/>
    </row>
    <row r="27" spans="2:12" ht="14" customHeight="1" x14ac:dyDescent="0.2">
      <c r="B27" s="24"/>
      <c r="C27" s="26"/>
      <c r="D27" s="26"/>
      <c r="E27" s="26"/>
      <c r="F27" s="25"/>
      <c r="G27" s="26"/>
      <c r="H27" s="26"/>
      <c r="I27" s="23"/>
    </row>
    <row r="28" spans="2:12" ht="14" customHeight="1" x14ac:dyDescent="0.2">
      <c r="B28" s="27"/>
      <c r="C28" s="26"/>
      <c r="D28" s="23"/>
      <c r="E28" s="23"/>
      <c r="F28" s="25"/>
      <c r="G28" s="23"/>
      <c r="H28" s="23"/>
      <c r="I28" s="26"/>
    </row>
    <row r="29" spans="2:12" ht="14" customHeight="1" x14ac:dyDescent="0.2">
      <c r="B29" s="24"/>
      <c r="C29" s="26"/>
      <c r="D29" s="23"/>
      <c r="E29" s="23"/>
      <c r="F29" s="25"/>
      <c r="G29" s="23"/>
      <c r="H29" s="23"/>
    </row>
    <row r="30" spans="2:12" ht="14" customHeight="1" x14ac:dyDescent="0.2">
      <c r="B30" s="24"/>
      <c r="C30" s="26"/>
      <c r="D30" s="23"/>
      <c r="E30" s="23"/>
      <c r="F30" s="25"/>
      <c r="G30" s="23"/>
      <c r="H30" s="23"/>
      <c r="I30" s="26"/>
    </row>
    <row r="31" spans="2:12" ht="14" customHeight="1" x14ac:dyDescent="0.2">
      <c r="B31" s="24"/>
      <c r="C31" s="26"/>
      <c r="D31" s="23"/>
      <c r="E31" s="23"/>
      <c r="F31" s="25"/>
      <c r="G31" s="23"/>
      <c r="H31" s="23"/>
      <c r="I31" s="26"/>
    </row>
    <row r="32" spans="2:12" ht="14" customHeight="1" x14ac:dyDescent="0.2">
      <c r="B32" s="29"/>
      <c r="C32" s="26"/>
      <c r="D32" s="23"/>
      <c r="E32" s="23"/>
      <c r="F32" s="28"/>
      <c r="G32" s="23"/>
      <c r="H32" s="23"/>
      <c r="I32" s="26"/>
    </row>
    <row r="33" spans="2:9" ht="14" customHeight="1" x14ac:dyDescent="0.2">
      <c r="B33" s="29"/>
      <c r="C33" s="26"/>
      <c r="D33" s="26"/>
      <c r="E33" s="26"/>
      <c r="F33" s="28"/>
      <c r="G33" s="26"/>
      <c r="H33" s="26"/>
      <c r="I33" s="26"/>
    </row>
    <row r="34" spans="2:9" ht="14" customHeight="1" x14ac:dyDescent="0.2">
      <c r="B34" s="31"/>
      <c r="C34" s="26"/>
      <c r="D34" s="26"/>
      <c r="E34" s="26"/>
      <c r="F34" s="28"/>
      <c r="G34" s="26"/>
      <c r="H34" s="26"/>
      <c r="I34" s="26"/>
    </row>
    <row r="35" spans="2:9" ht="14" customHeight="1" x14ac:dyDescent="0.2">
      <c r="C35" s="21"/>
      <c r="D35" s="32"/>
      <c r="E35" s="32"/>
      <c r="F35" s="32"/>
      <c r="G35" s="32"/>
      <c r="H35" s="32"/>
      <c r="I35" s="26"/>
    </row>
  </sheetData>
  <mergeCells count="3">
    <mergeCell ref="C6:E6"/>
    <mergeCell ref="D1:F1"/>
    <mergeCell ref="G6:L6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A1:N44"/>
  <sheetViews>
    <sheetView showGridLines="0" workbookViewId="0">
      <selection activeCell="D32" sqref="D32"/>
    </sheetView>
  </sheetViews>
  <sheetFormatPr baseColWidth="10" defaultColWidth="8.5" defaultRowHeight="14" customHeight="1" x14ac:dyDescent="0.2"/>
  <cols>
    <col min="1" max="1" width="1.5" style="1" customWidth="1"/>
    <col min="2" max="2" width="40.5" style="1" customWidth="1"/>
    <col min="3" max="11" width="10.5" style="1" customWidth="1"/>
    <col min="12" max="16384" width="8.5" style="1"/>
  </cols>
  <sheetData>
    <row r="1" spans="1:12" ht="21" x14ac:dyDescent="0.3">
      <c r="B1" s="8" t="s">
        <v>188</v>
      </c>
      <c r="D1" s="476" t="s">
        <v>126</v>
      </c>
      <c r="E1" s="477"/>
      <c r="F1" s="478"/>
    </row>
    <row r="2" spans="1:12" ht="14" customHeight="1" x14ac:dyDescent="0.2">
      <c r="B2" s="1" t="s">
        <v>163</v>
      </c>
      <c r="D2" s="136" t="s">
        <v>123</v>
      </c>
      <c r="E2" s="137" t="s">
        <v>124</v>
      </c>
      <c r="F2" s="138" t="s">
        <v>125</v>
      </c>
      <c r="H2" s="139" t="s">
        <v>130</v>
      </c>
    </row>
    <row r="4" spans="1:12" ht="14" customHeight="1" x14ac:dyDescent="0.2">
      <c r="A4" s="1" t="s">
        <v>12</v>
      </c>
      <c r="B4" s="9" t="s">
        <v>22</v>
      </c>
    </row>
    <row r="5" spans="1:12" ht="14" customHeight="1" x14ac:dyDescent="0.2">
      <c r="B5" s="10" t="s">
        <v>172</v>
      </c>
    </row>
    <row r="6" spans="1:12" ht="14" customHeight="1" x14ac:dyDescent="0.2">
      <c r="C6" s="484" t="s">
        <v>7</v>
      </c>
      <c r="D6" s="485"/>
      <c r="E6" s="486"/>
      <c r="F6" s="67" t="s">
        <v>116</v>
      </c>
      <c r="G6" s="483" t="s">
        <v>8</v>
      </c>
      <c r="H6" s="481"/>
      <c r="I6" s="481"/>
      <c r="J6" s="481"/>
      <c r="K6" s="481"/>
      <c r="L6" s="481"/>
    </row>
    <row r="7" spans="1:12" ht="14" customHeight="1" x14ac:dyDescent="0.2">
      <c r="B7" s="1" t="s">
        <v>268</v>
      </c>
      <c r="C7" s="69">
        <v>2014</v>
      </c>
      <c r="D7" s="70">
        <v>2015</v>
      </c>
      <c r="E7" s="71">
        <v>2016</v>
      </c>
      <c r="F7" s="68">
        <v>2017</v>
      </c>
      <c r="G7" s="13">
        <v>2018</v>
      </c>
      <c r="H7" s="12">
        <v>2019</v>
      </c>
      <c r="I7" s="13">
        <v>2020</v>
      </c>
      <c r="J7" s="12">
        <v>2021</v>
      </c>
      <c r="K7" s="13">
        <v>2022</v>
      </c>
      <c r="L7" s="12">
        <v>2023</v>
      </c>
    </row>
    <row r="8" spans="1:12" ht="14" customHeight="1" x14ac:dyDescent="0.2">
      <c r="B8" s="26"/>
      <c r="C8" s="26"/>
      <c r="D8" s="26"/>
      <c r="E8" s="26"/>
      <c r="F8" s="14"/>
      <c r="G8" s="26"/>
      <c r="H8" s="26"/>
      <c r="I8" s="26"/>
    </row>
    <row r="9" spans="1:12" s="191" customFormat="1" ht="14" customHeight="1" x14ac:dyDescent="0.2">
      <c r="A9" s="191" t="s">
        <v>10</v>
      </c>
      <c r="B9" s="24" t="s">
        <v>135</v>
      </c>
      <c r="C9" s="192"/>
      <c r="D9" s="192"/>
      <c r="E9" s="190">
        <f>'Balance Sheet'!E60</f>
        <v>1035666</v>
      </c>
      <c r="F9" s="194">
        <f>'Balance Sheet'!F60</f>
        <v>1409136.5103088918</v>
      </c>
      <c r="G9" s="190">
        <f>'Balance Sheet'!G60</f>
        <v>1604137.538517301</v>
      </c>
      <c r="H9" s="190">
        <f>'Balance Sheet'!H60</f>
        <v>1846792.2467272582</v>
      </c>
      <c r="I9" s="190">
        <f>'Balance Sheet'!I60</f>
        <v>2179246.5983376033</v>
      </c>
      <c r="J9" s="190">
        <f>'Balance Sheet'!J60</f>
        <v>2671901.56495078</v>
      </c>
      <c r="K9" s="190">
        <f>'Balance Sheet'!K60</f>
        <v>3388110.3783505191</v>
      </c>
      <c r="L9" s="190">
        <f>'Balance Sheet'!L60</f>
        <v>4459537.3049365962</v>
      </c>
    </row>
    <row r="10" spans="1:12" ht="14" customHeight="1" x14ac:dyDescent="0.2">
      <c r="B10" s="24" t="s">
        <v>136</v>
      </c>
      <c r="C10" s="25"/>
      <c r="D10" s="25"/>
      <c r="E10" s="193">
        <f>'Balance Sheet'!E16</f>
        <v>323998</v>
      </c>
      <c r="F10" s="195">
        <f>'Balance Sheet'!F16</f>
        <v>351878.03197477822</v>
      </c>
      <c r="G10" s="193">
        <f>'Balance Sheet'!G16</f>
        <v>400572.09215777076</v>
      </c>
      <c r="H10" s="193">
        <f>'Balance Sheet'!H16</f>
        <v>461165.83914372948</v>
      </c>
      <c r="I10" s="193">
        <f>'Balance Sheet'!I16</f>
        <v>544183.61784031265</v>
      </c>
      <c r="J10" s="193">
        <f>'Balance Sheet'!J16</f>
        <v>667205.38246441167</v>
      </c>
      <c r="K10" s="193">
        <f>'Balance Sheet'!K16</f>
        <v>846051.18334913021</v>
      </c>
      <c r="L10" s="193">
        <f>'Balance Sheet'!L16</f>
        <v>1113599.1430916896</v>
      </c>
    </row>
    <row r="11" spans="1:12" ht="14" customHeight="1" x14ac:dyDescent="0.2">
      <c r="B11" s="20" t="s">
        <v>137</v>
      </c>
      <c r="C11" s="19"/>
      <c r="D11" s="19"/>
      <c r="E11" s="198">
        <f>'Balance Sheet'!E12</f>
        <v>53729</v>
      </c>
      <c r="F11" s="199">
        <f>'Balance Sheet'!F12</f>
        <v>53729</v>
      </c>
      <c r="G11" s="198">
        <f>'Balance Sheet'!G12</f>
        <v>53729</v>
      </c>
      <c r="H11" s="198">
        <f>'Balance Sheet'!H12</f>
        <v>53729</v>
      </c>
      <c r="I11" s="198">
        <f>'Balance Sheet'!I12</f>
        <v>53729</v>
      </c>
      <c r="J11" s="198">
        <f>'Balance Sheet'!J12</f>
        <v>53729</v>
      </c>
      <c r="K11" s="198">
        <f>'Balance Sheet'!K12</f>
        <v>53729</v>
      </c>
      <c r="L11" s="198">
        <f>'Balance Sheet'!L12</f>
        <v>53729</v>
      </c>
    </row>
    <row r="12" spans="1:12" ht="14" customHeight="1" x14ac:dyDescent="0.2">
      <c r="A12" s="1" t="s">
        <v>12</v>
      </c>
      <c r="B12" s="33" t="s">
        <v>23</v>
      </c>
      <c r="C12" s="25"/>
      <c r="D12" s="25"/>
      <c r="E12" s="149">
        <f>SUM(E9:E11)</f>
        <v>1413393</v>
      </c>
      <c r="F12" s="201">
        <f t="shared" ref="F12:L12" si="0">SUM(F9:F11)</f>
        <v>1814743.54228367</v>
      </c>
      <c r="G12" s="149">
        <f t="shared" si="0"/>
        <v>2058438.6306750719</v>
      </c>
      <c r="H12" s="149">
        <f t="shared" si="0"/>
        <v>2361687.0858709877</v>
      </c>
      <c r="I12" s="149">
        <f t="shared" si="0"/>
        <v>2777159.2161779162</v>
      </c>
      <c r="J12" s="149">
        <f t="shared" si="0"/>
        <v>3392835.9474151917</v>
      </c>
      <c r="K12" s="149">
        <f t="shared" si="0"/>
        <v>4287890.5616996493</v>
      </c>
      <c r="L12" s="149">
        <f t="shared" si="0"/>
        <v>5626865.448028286</v>
      </c>
    </row>
    <row r="13" spans="1:12" ht="14" customHeight="1" x14ac:dyDescent="0.2">
      <c r="B13" s="24"/>
      <c r="C13" s="25"/>
      <c r="D13" s="25"/>
      <c r="E13" s="25"/>
      <c r="F13" s="16"/>
      <c r="G13" s="25"/>
      <c r="H13" s="25"/>
      <c r="I13" s="26"/>
      <c r="J13" s="26"/>
      <c r="K13" s="26"/>
      <c r="L13" s="26"/>
    </row>
    <row r="14" spans="1:12" ht="14" customHeight="1" x14ac:dyDescent="0.2">
      <c r="B14" s="24" t="s">
        <v>138</v>
      </c>
      <c r="C14" s="25"/>
      <c r="D14" s="25"/>
      <c r="E14" s="170">
        <f>'Balance Sheet'!E64</f>
        <v>656483</v>
      </c>
      <c r="F14" s="171">
        <f>'Balance Sheet'!F64</f>
        <v>732861.39829557855</v>
      </c>
      <c r="G14" s="170">
        <f>'Balance Sheet'!G64</f>
        <v>834277.21227556258</v>
      </c>
      <c r="H14" s="170">
        <f>'Balance Sheet'!H64</f>
        <v>960476.67376192543</v>
      </c>
      <c r="I14" s="170">
        <f>'Balance Sheet'!I64</f>
        <v>1133378.986070333</v>
      </c>
      <c r="J14" s="170">
        <f>'Balance Sheet'!J64</f>
        <v>1389598.1707043683</v>
      </c>
      <c r="K14" s="170">
        <f>'Balance Sheet'!K64</f>
        <v>1762082.872236012</v>
      </c>
      <c r="L14" s="170">
        <f>'Balance Sheet'!L64</f>
        <v>2319308.8257508241</v>
      </c>
    </row>
    <row r="15" spans="1:12" ht="14" customHeight="1" x14ac:dyDescent="0.2">
      <c r="B15" s="20" t="s">
        <v>147</v>
      </c>
      <c r="C15" s="19"/>
      <c r="D15" s="19"/>
      <c r="E15" s="179">
        <f t="shared" ref="E15:L15" si="1">E22-E23-E14</f>
        <v>39617</v>
      </c>
      <c r="F15" s="197">
        <f t="shared" si="1"/>
        <v>44226.232844225829</v>
      </c>
      <c r="G15" s="304">
        <f t="shared" si="1"/>
        <v>50346.407018492464</v>
      </c>
      <c r="H15" s="196">
        <f t="shared" si="1"/>
        <v>57962.208289363421</v>
      </c>
      <c r="I15" s="196">
        <f t="shared" si="1"/>
        <v>68396.402178195538</v>
      </c>
      <c r="J15" s="196">
        <f t="shared" si="1"/>
        <v>83858.54733297741</v>
      </c>
      <c r="K15" s="196">
        <f t="shared" si="1"/>
        <v>106337.00666944031</v>
      </c>
      <c r="L15" s="196">
        <f t="shared" si="1"/>
        <v>139964.10836193804</v>
      </c>
    </row>
    <row r="16" spans="1:12" ht="14" customHeight="1" x14ac:dyDescent="0.2">
      <c r="A16" s="1" t="s">
        <v>12</v>
      </c>
      <c r="B16" s="33" t="s">
        <v>24</v>
      </c>
      <c r="C16" s="23"/>
      <c r="D16" s="23"/>
      <c r="E16" s="202">
        <f>SUM(E14:E15)</f>
        <v>696100</v>
      </c>
      <c r="F16" s="203">
        <f t="shared" ref="F16:L16" si="2">SUM(F14:F15)</f>
        <v>777087.63113980438</v>
      </c>
      <c r="G16" s="202">
        <f t="shared" si="2"/>
        <v>884623.61929405504</v>
      </c>
      <c r="H16" s="202">
        <f t="shared" si="2"/>
        <v>1018438.8820512888</v>
      </c>
      <c r="I16" s="202">
        <f t="shared" si="2"/>
        <v>1201775.3882485286</v>
      </c>
      <c r="J16" s="202">
        <f t="shared" si="2"/>
        <v>1473456.7180373457</v>
      </c>
      <c r="K16" s="202">
        <f t="shared" si="2"/>
        <v>1868419.8789054523</v>
      </c>
      <c r="L16" s="202">
        <f t="shared" si="2"/>
        <v>2459272.9341127621</v>
      </c>
    </row>
    <row r="17" spans="1:14" ht="14" customHeight="1" x14ac:dyDescent="0.2">
      <c r="B17" s="31"/>
      <c r="C17" s="25"/>
      <c r="D17" s="25"/>
      <c r="E17" s="25"/>
      <c r="F17" s="54"/>
      <c r="G17" s="35"/>
      <c r="H17" s="35"/>
      <c r="I17" s="35"/>
      <c r="J17" s="35"/>
      <c r="K17" s="26"/>
      <c r="L17" s="26"/>
    </row>
    <row r="18" spans="1:14" s="9" customFormat="1" ht="14" customHeight="1" x14ac:dyDescent="0.2">
      <c r="B18" s="20" t="s">
        <v>25</v>
      </c>
      <c r="C18" s="18"/>
      <c r="D18" s="18"/>
      <c r="E18" s="121">
        <f>E12-E16</f>
        <v>717293</v>
      </c>
      <c r="F18" s="166">
        <f t="shared" ref="F18:L18" si="3">F12-F16</f>
        <v>1037655.9111438657</v>
      </c>
      <c r="G18" s="121">
        <f t="shared" si="3"/>
        <v>1173815.0113810168</v>
      </c>
      <c r="H18" s="121">
        <f t="shared" si="3"/>
        <v>1343248.2038196989</v>
      </c>
      <c r="I18" s="121">
        <f t="shared" si="3"/>
        <v>1575383.8279293876</v>
      </c>
      <c r="J18" s="121">
        <f t="shared" si="3"/>
        <v>1919379.229377846</v>
      </c>
      <c r="K18" s="121">
        <f t="shared" si="3"/>
        <v>2419470.682794197</v>
      </c>
      <c r="L18" s="121">
        <f t="shared" si="3"/>
        <v>3167592.5139155239</v>
      </c>
    </row>
    <row r="19" spans="1:14" s="200" customFormat="1" ht="14" customHeight="1" x14ac:dyDescent="0.2">
      <c r="A19" s="200" t="s">
        <v>12</v>
      </c>
      <c r="B19" s="27" t="s">
        <v>26</v>
      </c>
      <c r="C19" s="168"/>
      <c r="D19" s="168"/>
      <c r="E19" s="168"/>
      <c r="F19" s="152">
        <f>F18-E18</f>
        <v>320362.91114386567</v>
      </c>
      <c r="G19" s="151">
        <f t="shared" ref="G19:L19" si="4">G18-F18</f>
        <v>136159.10023715114</v>
      </c>
      <c r="H19" s="151">
        <f t="shared" si="4"/>
        <v>169433.19243868208</v>
      </c>
      <c r="I19" s="151">
        <f t="shared" si="4"/>
        <v>232135.62410968868</v>
      </c>
      <c r="J19" s="151">
        <f t="shared" si="4"/>
        <v>343995.40144845843</v>
      </c>
      <c r="K19" s="151">
        <f t="shared" si="4"/>
        <v>500091.453416351</v>
      </c>
      <c r="L19" s="151">
        <f t="shared" si="4"/>
        <v>748121.83112132689</v>
      </c>
    </row>
    <row r="20" spans="1:14" ht="14" customHeight="1" x14ac:dyDescent="0.2">
      <c r="B20" s="24"/>
      <c r="C20" s="25"/>
      <c r="D20" s="25"/>
      <c r="E20" s="25"/>
      <c r="F20" s="25"/>
      <c r="G20" s="25"/>
      <c r="H20" s="25"/>
      <c r="I20" s="26"/>
      <c r="J20" s="26"/>
      <c r="K20" s="26"/>
      <c r="L20" s="26"/>
    </row>
    <row r="21" spans="1:14" ht="14" customHeight="1" x14ac:dyDescent="0.2">
      <c r="B21" s="27" t="s">
        <v>245</v>
      </c>
      <c r="C21" s="25"/>
      <c r="D21" s="25"/>
      <c r="E21" s="189"/>
      <c r="F21" s="189"/>
      <c r="G21" s="189"/>
      <c r="H21" s="189"/>
      <c r="I21" s="189"/>
      <c r="J21" s="189"/>
      <c r="K21" s="189"/>
      <c r="L21" s="26"/>
      <c r="M21" s="26"/>
      <c r="N21" s="26"/>
    </row>
    <row r="22" spans="1:14" ht="14" customHeight="1" x14ac:dyDescent="0.2">
      <c r="B22" s="33" t="s">
        <v>270</v>
      </c>
      <c r="C22" s="25"/>
      <c r="D22" s="25"/>
      <c r="E22" s="37">
        <v>1096000</v>
      </c>
      <c r="F22" s="176">
        <f>F14/F24</f>
        <v>1223513.9257710467</v>
      </c>
      <c r="G22" s="176">
        <f t="shared" ref="G22:L22" si="5">G14/G24</f>
        <v>1392827.8792505162</v>
      </c>
      <c r="H22" s="176">
        <f t="shared" si="5"/>
        <v>1603518.1938345246</v>
      </c>
      <c r="I22" s="176">
        <f t="shared" si="5"/>
        <v>1892179.0339324628</v>
      </c>
      <c r="J22" s="176">
        <f t="shared" si="5"/>
        <v>2319937.5994381998</v>
      </c>
      <c r="K22" s="176">
        <f t="shared" si="5"/>
        <v>2941801.7343490529</v>
      </c>
      <c r="L22" s="176">
        <f t="shared" si="5"/>
        <v>3872091.8485671422</v>
      </c>
      <c r="M22" s="26"/>
      <c r="N22" s="26"/>
    </row>
    <row r="23" spans="1:14" s="9" customFormat="1" ht="14" customHeight="1" x14ac:dyDescent="0.2">
      <c r="B23" s="33" t="s">
        <v>271</v>
      </c>
      <c r="C23" s="30"/>
      <c r="D23" s="30"/>
      <c r="E23" s="37">
        <v>399900</v>
      </c>
      <c r="F23" s="160">
        <f>F22*F25</f>
        <v>446426.29463124234</v>
      </c>
      <c r="G23" s="160">
        <f t="shared" ref="G23:L23" si="6">G22*G25</f>
        <v>508204.2599564612</v>
      </c>
      <c r="H23" s="160">
        <f t="shared" si="6"/>
        <v>585079.31178323575</v>
      </c>
      <c r="I23" s="160">
        <f t="shared" si="6"/>
        <v>690403.64568393421</v>
      </c>
      <c r="J23" s="160">
        <f t="shared" si="6"/>
        <v>846480.88140085409</v>
      </c>
      <c r="K23" s="160">
        <f t="shared" si="6"/>
        <v>1073381.8554436006</v>
      </c>
      <c r="L23" s="160">
        <f t="shared" si="6"/>
        <v>1412818.9144543798</v>
      </c>
      <c r="M23" s="29"/>
      <c r="N23" s="29"/>
    </row>
    <row r="24" spans="1:14" s="9" customFormat="1" ht="14" customHeight="1" x14ac:dyDescent="0.2">
      <c r="B24" s="33" t="s">
        <v>272</v>
      </c>
      <c r="C24" s="28"/>
      <c r="D24" s="28"/>
      <c r="E24" s="58">
        <f>E14/E22</f>
        <v>0.5989808394160584</v>
      </c>
      <c r="F24" s="38">
        <f t="shared" ref="F24:L25" si="7">E24</f>
        <v>0.5989808394160584</v>
      </c>
      <c r="G24" s="38">
        <f t="shared" si="7"/>
        <v>0.5989808394160584</v>
      </c>
      <c r="H24" s="38">
        <f t="shared" si="7"/>
        <v>0.5989808394160584</v>
      </c>
      <c r="I24" s="38">
        <f t="shared" si="7"/>
        <v>0.5989808394160584</v>
      </c>
      <c r="J24" s="38">
        <f t="shared" si="7"/>
        <v>0.5989808394160584</v>
      </c>
      <c r="K24" s="38">
        <f t="shared" si="7"/>
        <v>0.5989808394160584</v>
      </c>
      <c r="L24" s="38">
        <f t="shared" si="7"/>
        <v>0.5989808394160584</v>
      </c>
      <c r="M24" s="29"/>
      <c r="N24" s="29"/>
    </row>
    <row r="25" spans="1:14" ht="14" customHeight="1" x14ac:dyDescent="0.2">
      <c r="B25" s="33" t="s">
        <v>273</v>
      </c>
      <c r="C25" s="25"/>
      <c r="D25" s="25"/>
      <c r="E25" s="23">
        <f>E23/E22</f>
        <v>0.36487226277372264</v>
      </c>
      <c r="F25" s="38">
        <f t="shared" si="7"/>
        <v>0.36487226277372264</v>
      </c>
      <c r="G25" s="38">
        <f t="shared" si="7"/>
        <v>0.36487226277372264</v>
      </c>
      <c r="H25" s="38">
        <f t="shared" si="7"/>
        <v>0.36487226277372264</v>
      </c>
      <c r="I25" s="38">
        <f t="shared" si="7"/>
        <v>0.36487226277372264</v>
      </c>
      <c r="J25" s="38">
        <f t="shared" si="7"/>
        <v>0.36487226277372264</v>
      </c>
      <c r="K25" s="38">
        <f t="shared" si="7"/>
        <v>0.36487226277372264</v>
      </c>
      <c r="L25" s="38">
        <f t="shared" si="7"/>
        <v>0.36487226277372264</v>
      </c>
      <c r="M25" s="26"/>
      <c r="N25" s="26"/>
    </row>
    <row r="26" spans="1:14" ht="14" customHeight="1" x14ac:dyDescent="0.2">
      <c r="B26" s="24"/>
      <c r="C26" s="26"/>
      <c r="D26" s="26"/>
      <c r="E26" s="26"/>
      <c r="F26" s="23"/>
      <c r="G26" s="38"/>
      <c r="H26" s="38"/>
      <c r="I26" s="38"/>
      <c r="J26" s="38"/>
      <c r="K26" s="38"/>
      <c r="L26" s="26"/>
      <c r="M26" s="26"/>
      <c r="N26" s="26"/>
    </row>
    <row r="27" spans="1:14" ht="14" customHeight="1" x14ac:dyDescent="0.2">
      <c r="B27" s="24"/>
      <c r="C27" s="26"/>
      <c r="D27" s="26"/>
      <c r="E27" s="26"/>
      <c r="F27" s="25"/>
      <c r="G27" s="57"/>
      <c r="H27" s="57"/>
      <c r="I27" s="57"/>
      <c r="J27" s="57"/>
      <c r="K27" s="57"/>
      <c r="L27" s="26"/>
      <c r="M27" s="26"/>
      <c r="N27" s="26"/>
    </row>
    <row r="28" spans="1:14" ht="14" customHeight="1" x14ac:dyDescent="0.2">
      <c r="B28" s="24"/>
      <c r="C28" s="26"/>
      <c r="D28" s="26"/>
      <c r="E28" s="26"/>
      <c r="F28" s="23"/>
      <c r="G28" s="38"/>
      <c r="H28" s="38"/>
      <c r="I28" s="38"/>
      <c r="J28" s="38"/>
      <c r="K28" s="38"/>
      <c r="L28" s="26"/>
      <c r="M28" s="26"/>
      <c r="N28" s="26"/>
    </row>
    <row r="29" spans="1:14" ht="14" customHeight="1" x14ac:dyDescent="0.2">
      <c r="B29" s="24"/>
      <c r="C29" s="28"/>
      <c r="D29" s="28"/>
      <c r="E29" s="28"/>
      <c r="F29" s="23"/>
      <c r="G29" s="38"/>
      <c r="H29" s="38"/>
      <c r="I29" s="38"/>
      <c r="J29" s="38"/>
      <c r="K29" s="38"/>
      <c r="L29" s="26"/>
      <c r="M29" s="26"/>
      <c r="N29" s="26"/>
    </row>
    <row r="30" spans="1:14" ht="14" customHeight="1" x14ac:dyDescent="0.2">
      <c r="B30" s="24"/>
      <c r="C30" s="26"/>
      <c r="D30" s="26"/>
      <c r="E30" s="26"/>
      <c r="F30" s="23"/>
      <c r="G30" s="38"/>
      <c r="H30" s="38"/>
      <c r="I30" s="38"/>
      <c r="J30" s="38"/>
      <c r="K30" s="38"/>
      <c r="L30" s="26"/>
      <c r="M30" s="26"/>
      <c r="N30" s="26"/>
    </row>
    <row r="31" spans="1:14" ht="14" customHeight="1" x14ac:dyDescent="0.2">
      <c r="B31" s="24"/>
      <c r="C31" s="26"/>
      <c r="D31" s="26"/>
      <c r="E31" s="26"/>
      <c r="F31" s="23"/>
      <c r="G31" s="38"/>
      <c r="H31" s="38"/>
      <c r="I31" s="38"/>
      <c r="J31" s="38"/>
      <c r="K31" s="38"/>
      <c r="L31" s="26"/>
      <c r="M31" s="26"/>
      <c r="N31" s="26"/>
    </row>
    <row r="32" spans="1:14" ht="14" customHeight="1" x14ac:dyDescent="0.2">
      <c r="B32" s="24"/>
      <c r="C32" s="26"/>
      <c r="D32" s="26"/>
      <c r="E32" s="26"/>
      <c r="F32" s="37"/>
      <c r="G32" s="37"/>
      <c r="H32" s="37"/>
      <c r="I32" s="37"/>
      <c r="J32" s="37"/>
      <c r="K32" s="37"/>
      <c r="L32" s="26"/>
      <c r="M32" s="26"/>
      <c r="N32" s="26"/>
    </row>
    <row r="33" spans="2:14" ht="14" customHeight="1" x14ac:dyDescent="0.2">
      <c r="B33" s="27"/>
      <c r="C33" s="26"/>
      <c r="D33" s="23"/>
      <c r="E33" s="23"/>
      <c r="F33" s="25"/>
      <c r="G33" s="23"/>
      <c r="H33" s="23"/>
      <c r="I33" s="26"/>
      <c r="J33" s="26"/>
      <c r="K33" s="26"/>
      <c r="L33" s="26"/>
      <c r="M33" s="26"/>
      <c r="N33" s="26"/>
    </row>
    <row r="34" spans="2:14" ht="14" customHeight="1" x14ac:dyDescent="0.2">
      <c r="B34" s="24"/>
      <c r="C34" s="26"/>
      <c r="D34" s="23"/>
      <c r="E34" s="23"/>
      <c r="F34" s="25"/>
      <c r="G34" s="23"/>
      <c r="H34" s="23"/>
      <c r="I34" s="26"/>
      <c r="J34" s="26"/>
      <c r="K34" s="26"/>
      <c r="L34" s="26"/>
      <c r="M34" s="26"/>
      <c r="N34" s="26"/>
    </row>
    <row r="35" spans="2:14" ht="14" customHeight="1" x14ac:dyDescent="0.2">
      <c r="B35" s="24"/>
      <c r="C35" s="26"/>
      <c r="D35" s="23"/>
      <c r="E35" s="23"/>
      <c r="F35" s="25"/>
      <c r="G35" s="23"/>
      <c r="H35" s="23"/>
      <c r="I35" s="26"/>
      <c r="J35" s="26"/>
      <c r="K35" s="26"/>
      <c r="L35" s="26"/>
      <c r="M35" s="26"/>
      <c r="N35" s="26"/>
    </row>
    <row r="36" spans="2:14" ht="14" customHeight="1" x14ac:dyDescent="0.2">
      <c r="B36" s="24"/>
      <c r="C36" s="26"/>
      <c r="D36" s="23"/>
      <c r="E36" s="23"/>
      <c r="F36" s="25"/>
      <c r="G36" s="23"/>
      <c r="H36" s="23"/>
      <c r="I36" s="26"/>
      <c r="J36" s="26"/>
      <c r="K36" s="26"/>
      <c r="L36" s="26"/>
      <c r="M36" s="26"/>
      <c r="N36" s="26"/>
    </row>
    <row r="37" spans="2:14" ht="14" customHeight="1" x14ac:dyDescent="0.2">
      <c r="B37" s="29"/>
      <c r="C37" s="26"/>
      <c r="D37" s="23"/>
      <c r="E37" s="23"/>
      <c r="F37" s="28"/>
      <c r="G37" s="23"/>
      <c r="H37" s="23"/>
      <c r="I37" s="26"/>
      <c r="J37" s="26"/>
      <c r="K37" s="26"/>
      <c r="L37" s="26"/>
      <c r="M37" s="26"/>
      <c r="N37" s="26"/>
    </row>
    <row r="38" spans="2:14" ht="14" customHeight="1" x14ac:dyDescent="0.2">
      <c r="B38" s="29"/>
      <c r="C38" s="26"/>
      <c r="D38" s="26"/>
      <c r="E38" s="26"/>
      <c r="F38" s="28"/>
      <c r="G38" s="26"/>
      <c r="H38" s="26"/>
      <c r="I38" s="26"/>
      <c r="J38" s="26"/>
      <c r="K38" s="26"/>
      <c r="L38" s="26"/>
      <c r="M38" s="26"/>
      <c r="N38" s="26"/>
    </row>
    <row r="39" spans="2:14" ht="14" customHeight="1" x14ac:dyDescent="0.2">
      <c r="B39" s="31"/>
      <c r="C39" s="26"/>
      <c r="D39" s="26"/>
      <c r="E39" s="26"/>
      <c r="F39" s="28"/>
      <c r="G39" s="26"/>
      <c r="H39" s="26"/>
      <c r="I39" s="26"/>
      <c r="J39" s="26"/>
      <c r="K39" s="26"/>
      <c r="L39" s="26"/>
      <c r="M39" s="26"/>
      <c r="N39" s="26"/>
    </row>
    <row r="40" spans="2:14" ht="14" customHeight="1" x14ac:dyDescent="0.2">
      <c r="B40" s="26"/>
      <c r="C40" s="32"/>
      <c r="D40" s="32"/>
      <c r="E40" s="32"/>
      <c r="F40" s="32"/>
      <c r="G40" s="32"/>
      <c r="H40" s="32"/>
      <c r="I40" s="26"/>
      <c r="J40" s="26"/>
      <c r="K40" s="26"/>
      <c r="L40" s="26"/>
      <c r="M40" s="26"/>
      <c r="N40" s="26"/>
    </row>
    <row r="41" spans="2:14" ht="14" customHeight="1" x14ac:dyDescent="0.2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spans="2:14" ht="14" customHeight="1" x14ac:dyDescent="0.2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2:14" ht="14" customHeight="1" x14ac:dyDescent="0.2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spans="2:14" ht="14" customHeight="1" x14ac:dyDescent="0.2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</sheetData>
  <mergeCells count="3">
    <mergeCell ref="C6:E6"/>
    <mergeCell ref="D1:F1"/>
    <mergeCell ref="G6:L6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9"/>
  <sheetViews>
    <sheetView showGridLines="0" topLeftCell="A98" zoomScale="89" zoomScaleNormal="66" zoomScalePageLayoutView="66" workbookViewId="0">
      <selection activeCell="H32" sqref="H32"/>
    </sheetView>
  </sheetViews>
  <sheetFormatPr baseColWidth="10" defaultColWidth="8.5" defaultRowHeight="14" customHeight="1" x14ac:dyDescent="0.2"/>
  <cols>
    <col min="1" max="1" width="1.5" style="1" customWidth="1"/>
    <col min="2" max="2" width="40.5" style="1" customWidth="1"/>
    <col min="3" max="3" width="14.5" style="1" bestFit="1" customWidth="1"/>
    <col min="4" max="4" width="12.6640625" style="1" bestFit="1" customWidth="1"/>
    <col min="5" max="7" width="11.5" style="1" bestFit="1" customWidth="1"/>
    <col min="8" max="8" width="11.33203125" style="1" customWidth="1"/>
    <col min="9" max="9" width="11.83203125" style="1" bestFit="1" customWidth="1"/>
    <col min="10" max="12" width="8.5" style="1"/>
    <col min="13" max="13" width="28.83203125" style="1" customWidth="1"/>
    <col min="14" max="15" width="9.1640625" style="1" customWidth="1"/>
    <col min="16" max="16384" width="8.5" style="1"/>
  </cols>
  <sheetData>
    <row r="1" spans="1:17" ht="21" x14ac:dyDescent="0.3">
      <c r="B1" s="8" t="s">
        <v>188</v>
      </c>
      <c r="D1" s="476" t="s">
        <v>126</v>
      </c>
      <c r="E1" s="477"/>
      <c r="F1" s="478"/>
    </row>
    <row r="2" spans="1:17" ht="14" customHeight="1" x14ac:dyDescent="0.2">
      <c r="B2" s="1" t="s">
        <v>163</v>
      </c>
      <c r="D2" s="136" t="s">
        <v>123</v>
      </c>
      <c r="E2" s="137" t="s">
        <v>124</v>
      </c>
      <c r="F2" s="138" t="s">
        <v>125</v>
      </c>
      <c r="H2" s="139" t="s">
        <v>130</v>
      </c>
    </row>
    <row r="4" spans="1:17" ht="14" customHeight="1" x14ac:dyDescent="0.2">
      <c r="B4" s="9" t="s">
        <v>162</v>
      </c>
    </row>
    <row r="5" spans="1:17" ht="14" customHeight="1" x14ac:dyDescent="0.2">
      <c r="B5" s="10" t="s">
        <v>172</v>
      </c>
    </row>
    <row r="6" spans="1:17" ht="14" customHeight="1" x14ac:dyDescent="0.2">
      <c r="B6" s="40"/>
      <c r="C6" s="487" t="s">
        <v>281</v>
      </c>
      <c r="D6" s="488"/>
      <c r="E6" s="488"/>
      <c r="F6" s="488"/>
      <c r="G6" s="488"/>
      <c r="H6" s="488"/>
    </row>
    <row r="7" spans="1:17" ht="14" customHeight="1" x14ac:dyDescent="0.2">
      <c r="B7" s="40"/>
      <c r="C7" s="12">
        <v>2018</v>
      </c>
      <c r="D7" s="12">
        <v>2019</v>
      </c>
      <c r="E7" s="12">
        <v>2020</v>
      </c>
      <c r="F7" s="56">
        <v>2021</v>
      </c>
      <c r="G7" s="56">
        <v>2022</v>
      </c>
      <c r="H7" s="56">
        <v>2023</v>
      </c>
      <c r="N7" s="489" t="s">
        <v>286</v>
      </c>
      <c r="O7" s="489"/>
      <c r="P7" s="489"/>
      <c r="Q7" s="489"/>
    </row>
    <row r="8" spans="1:17" ht="14" hidden="1" customHeight="1" x14ac:dyDescent="0.2">
      <c r="B8" s="40" t="s">
        <v>76</v>
      </c>
      <c r="C8" s="83">
        <v>3</v>
      </c>
      <c r="D8" s="83">
        <v>4</v>
      </c>
      <c r="E8" s="83">
        <v>5</v>
      </c>
      <c r="F8" s="83">
        <v>6</v>
      </c>
      <c r="G8" s="83">
        <v>6</v>
      </c>
      <c r="H8" s="83">
        <v>6</v>
      </c>
      <c r="N8" s="489"/>
      <c r="O8" s="489"/>
      <c r="P8" s="489"/>
      <c r="Q8" s="489"/>
    </row>
    <row r="9" spans="1:17" ht="14" hidden="1" customHeight="1" x14ac:dyDescent="0.2">
      <c r="B9" s="40"/>
      <c r="C9" s="40"/>
      <c r="D9" s="40"/>
      <c r="E9" s="40"/>
      <c r="F9" s="40"/>
      <c r="G9" s="40"/>
      <c r="H9" s="40"/>
      <c r="N9" s="489"/>
      <c r="O9" s="489"/>
      <c r="P9" s="489"/>
      <c r="Q9" s="489"/>
    </row>
    <row r="10" spans="1:17" s="9" customFormat="1" ht="14" customHeight="1" x14ac:dyDescent="0.2">
      <c r="B10" s="45" t="s">
        <v>4</v>
      </c>
      <c r="C10" s="389">
        <f t="shared" ref="C10:H10" si="0">C12-C11</f>
        <v>989741.2598819983</v>
      </c>
      <c r="D10" s="389">
        <f t="shared" si="0"/>
        <v>1077594.0842693986</v>
      </c>
      <c r="E10" s="389">
        <f t="shared" si="0"/>
        <v>1219437.5085691113</v>
      </c>
      <c r="F10" s="389">
        <f t="shared" si="0"/>
        <v>1434994.14332232</v>
      </c>
      <c r="G10" s="389">
        <f t="shared" si="0"/>
        <v>1757837.7117304928</v>
      </c>
      <c r="H10" s="389">
        <f t="shared" si="0"/>
        <v>2241056.0698791887</v>
      </c>
      <c r="N10" s="489"/>
      <c r="O10" s="489"/>
      <c r="P10" s="489"/>
      <c r="Q10" s="489"/>
    </row>
    <row r="11" spans="1:17" ht="14" customHeight="1" x14ac:dyDescent="0.2">
      <c r="B11" s="312" t="s">
        <v>31</v>
      </c>
      <c r="C11" s="314">
        <f>'Fixed Asset'!G11</f>
        <v>-236070.06957874852</v>
      </c>
      <c r="D11" s="314">
        <f>'Fixed Asset'!H11</f>
        <v>-221366.16193745364</v>
      </c>
      <c r="E11" s="314">
        <f>'Fixed Asset'!I11</f>
        <v>-219853.4812705848</v>
      </c>
      <c r="F11" s="314">
        <f>'Fixed Asset'!J11</f>
        <v>-229351.09664395612</v>
      </c>
      <c r="G11" s="314">
        <f>'Fixed Asset'!K11</f>
        <v>-250024.8948124726</v>
      </c>
      <c r="H11" s="314">
        <f>'Fixed Asset'!L11</f>
        <v>-284073.4120385985</v>
      </c>
      <c r="N11" s="489"/>
      <c r="O11" s="489"/>
      <c r="P11" s="489"/>
      <c r="Q11" s="489"/>
    </row>
    <row r="12" spans="1:17" s="9" customFormat="1" ht="14" customHeight="1" x14ac:dyDescent="0.2">
      <c r="A12" s="9" t="s">
        <v>12</v>
      </c>
      <c r="B12" s="45" t="s">
        <v>5</v>
      </c>
      <c r="C12" s="193">
        <f>'Income Statement'!S20</f>
        <v>753671.19030324975</v>
      </c>
      <c r="D12" s="193">
        <f>'Income Statement'!T20</f>
        <v>856227.92233194504</v>
      </c>
      <c r="E12" s="193">
        <f>'Income Statement'!U20</f>
        <v>999584.02729852661</v>
      </c>
      <c r="F12" s="193">
        <f>'Income Statement'!V20</f>
        <v>1205643.0466783638</v>
      </c>
      <c r="G12" s="193">
        <f>'Income Statement'!W20</f>
        <v>1507812.8169180201</v>
      </c>
      <c r="H12" s="193">
        <f>'Income Statement'!X20</f>
        <v>1956982.65784059</v>
      </c>
      <c r="N12" s="489"/>
      <c r="O12" s="489"/>
      <c r="P12" s="489"/>
      <c r="Q12" s="489"/>
    </row>
    <row r="13" spans="1:17" s="9" customFormat="1" ht="14" customHeight="1" x14ac:dyDescent="0.2">
      <c r="B13" s="312" t="s">
        <v>14</v>
      </c>
      <c r="C13" s="314">
        <f>'Income Statement'!S23</f>
        <v>-200360.04452369694</v>
      </c>
      <c r="D13" s="314">
        <f>'Income Statement'!T23</f>
        <v>-228665.70256361685</v>
      </c>
      <c r="E13" s="314">
        <f>'Income Statement'!U23</f>
        <v>-268231.98753439338</v>
      </c>
      <c r="F13" s="314">
        <f>'Income Statement'!V23</f>
        <v>-325104.27688322845</v>
      </c>
      <c r="G13" s="314">
        <f>'Income Statement'!W23</f>
        <v>-408503.13346937357</v>
      </c>
      <c r="H13" s="314">
        <f>'Income Statement'!X23</f>
        <v>-532474.00956400286</v>
      </c>
      <c r="N13" s="489"/>
      <c r="O13" s="489"/>
      <c r="P13" s="489"/>
      <c r="Q13" s="489"/>
    </row>
    <row r="14" spans="1:17" s="9" customFormat="1" ht="14" customHeight="1" x14ac:dyDescent="0.2">
      <c r="B14" s="45" t="s">
        <v>15</v>
      </c>
      <c r="C14" s="213">
        <f t="shared" ref="C14:H14" si="1">C12+C13</f>
        <v>553311.14577955287</v>
      </c>
      <c r="D14" s="213">
        <f t="shared" si="1"/>
        <v>627562.21976832813</v>
      </c>
      <c r="E14" s="213">
        <f t="shared" si="1"/>
        <v>731352.03976413328</v>
      </c>
      <c r="F14" s="213">
        <f t="shared" si="1"/>
        <v>880538.76979513536</v>
      </c>
      <c r="G14" s="213">
        <f t="shared" si="1"/>
        <v>1099309.6834486467</v>
      </c>
      <c r="H14" s="213">
        <f t="shared" si="1"/>
        <v>1424508.648276587</v>
      </c>
      <c r="N14" s="489"/>
      <c r="O14" s="489"/>
      <c r="P14" s="489"/>
      <c r="Q14" s="489"/>
    </row>
    <row r="15" spans="1:17" ht="14" customHeight="1" x14ac:dyDescent="0.2">
      <c r="B15" s="313" t="s">
        <v>32</v>
      </c>
      <c r="C15" s="61">
        <f t="shared" ref="C15:H15" si="2">-C11</f>
        <v>236070.06957874852</v>
      </c>
      <c r="D15" s="61">
        <f t="shared" si="2"/>
        <v>221366.16193745364</v>
      </c>
      <c r="E15" s="61">
        <f t="shared" si="2"/>
        <v>219853.4812705848</v>
      </c>
      <c r="F15" s="61">
        <f t="shared" si="2"/>
        <v>229351.09664395612</v>
      </c>
      <c r="G15" s="61">
        <f t="shared" si="2"/>
        <v>250024.8948124726</v>
      </c>
      <c r="H15" s="61">
        <f t="shared" si="2"/>
        <v>284073.4120385985</v>
      </c>
      <c r="N15" s="489"/>
      <c r="O15" s="489"/>
      <c r="P15" s="489"/>
      <c r="Q15" s="489"/>
    </row>
    <row r="16" spans="1:17" s="9" customFormat="1" ht="14" customHeight="1" x14ac:dyDescent="0.2">
      <c r="B16" s="313" t="s">
        <v>33</v>
      </c>
      <c r="C16" s="319">
        <f>-'Fixed Asset'!G10</f>
        <v>-198904.4423047062</v>
      </c>
      <c r="D16" s="319">
        <f>-'Fixed Asset'!H10</f>
        <v>-217542.70716468239</v>
      </c>
      <c r="E16" s="319">
        <f>-'Fixed Asset'!I10</f>
        <v>-243859.67347269037</v>
      </c>
      <c r="F16" s="319">
        <f>-'Fixed Asset'!J10</f>
        <v>-281606.23152470012</v>
      </c>
      <c r="G16" s="319">
        <f>-'Fixed Asset'!K10</f>
        <v>-336085.99716230819</v>
      </c>
      <c r="H16" s="319">
        <f>-'Fixed Asset'!L10</f>
        <v>-414719.01221542881</v>
      </c>
      <c r="N16" s="489"/>
      <c r="O16" s="489"/>
      <c r="P16" s="489"/>
      <c r="Q16" s="489"/>
    </row>
    <row r="17" spans="1:20" ht="14" customHeight="1" x14ac:dyDescent="0.2">
      <c r="B17" s="312" t="s">
        <v>34</v>
      </c>
      <c r="C17" s="314">
        <f>-'Working Cap'!G19</f>
        <v>-136159.10023715114</v>
      </c>
      <c r="D17" s="314">
        <f>-'Working Cap'!H19</f>
        <v>-169433.19243868208</v>
      </c>
      <c r="E17" s="314">
        <f>-'Working Cap'!I19</f>
        <v>-232135.62410968868</v>
      </c>
      <c r="F17" s="314">
        <f>-'Working Cap'!J19</f>
        <v>-343995.40144845843</v>
      </c>
      <c r="G17" s="314">
        <f>-'Working Cap'!K19</f>
        <v>-500091.453416351</v>
      </c>
      <c r="H17" s="314">
        <f>-'Working Cap'!L19</f>
        <v>-748121.83112132689</v>
      </c>
      <c r="N17" s="489"/>
      <c r="O17" s="489"/>
      <c r="P17" s="489"/>
      <c r="Q17" s="489"/>
    </row>
    <row r="18" spans="1:20" s="9" customFormat="1" ht="14" customHeight="1" x14ac:dyDescent="0.2">
      <c r="A18" s="9" t="s">
        <v>12</v>
      </c>
      <c r="B18" s="45" t="s">
        <v>35</v>
      </c>
      <c r="C18" s="389">
        <f t="shared" ref="C18:H18" si="3">SUM(C14:C17)</f>
        <v>454317.67281644407</v>
      </c>
      <c r="D18" s="389">
        <f t="shared" si="3"/>
        <v>461952.48210241739</v>
      </c>
      <c r="E18" s="389">
        <f t="shared" si="3"/>
        <v>475210.22345233895</v>
      </c>
      <c r="F18" s="389">
        <f t="shared" si="3"/>
        <v>484288.23346593301</v>
      </c>
      <c r="G18" s="389">
        <f t="shared" si="3"/>
        <v>513157.12768246012</v>
      </c>
      <c r="H18" s="389">
        <f t="shared" si="3"/>
        <v>545741.21697842982</v>
      </c>
      <c r="N18" s="489"/>
      <c r="O18" s="489"/>
      <c r="P18" s="489"/>
      <c r="Q18" s="489"/>
    </row>
    <row r="19" spans="1:20" ht="14" customHeight="1" thickBot="1" x14ac:dyDescent="0.25">
      <c r="B19" s="46"/>
      <c r="C19" s="51"/>
      <c r="D19" s="40"/>
      <c r="E19" s="40"/>
      <c r="F19" s="40"/>
      <c r="G19" s="40"/>
      <c r="H19" s="40"/>
      <c r="N19" s="489"/>
      <c r="O19" s="489"/>
      <c r="P19" s="489"/>
      <c r="Q19" s="489"/>
    </row>
    <row r="20" spans="1:20" ht="14" customHeight="1" thickBot="1" x14ac:dyDescent="0.25">
      <c r="B20" s="111" t="s">
        <v>55</v>
      </c>
      <c r="C20" s="390">
        <f t="shared" ref="C20:H20" si="4">C18/(1+$C$82)^C8</f>
        <v>345321.54618518072</v>
      </c>
      <c r="D20" s="390">
        <f t="shared" si="4"/>
        <v>320441.95002371166</v>
      </c>
      <c r="E20" s="390">
        <f t="shared" si="4"/>
        <v>300833.26106069476</v>
      </c>
      <c r="F20" s="390">
        <f t="shared" si="4"/>
        <v>279789.88437732222</v>
      </c>
      <c r="G20" s="390">
        <f t="shared" si="4"/>
        <v>296468.43243358308</v>
      </c>
      <c r="H20" s="391">
        <f t="shared" si="4"/>
        <v>315293.37581784354</v>
      </c>
    </row>
    <row r="21" spans="1:20" ht="14" customHeight="1" x14ac:dyDescent="0.2">
      <c r="B21" s="46" t="s">
        <v>148</v>
      </c>
      <c r="C21" s="47"/>
      <c r="D21" s="51"/>
      <c r="E21" s="51"/>
      <c r="F21" s="40"/>
      <c r="G21" s="40"/>
      <c r="I21" s="392">
        <f>SUM(D20:H20)</f>
        <v>1512826.9037131551</v>
      </c>
    </row>
    <row r="22" spans="1:20" ht="14" customHeight="1" x14ac:dyDescent="0.2">
      <c r="B22" s="46"/>
      <c r="C22" s="52"/>
      <c r="D22" s="52"/>
      <c r="E22" s="52"/>
      <c r="F22" s="52"/>
      <c r="G22" s="52"/>
      <c r="H22" s="40"/>
    </row>
    <row r="23" spans="1:20" s="9" customFormat="1" ht="14" customHeight="1" thickBot="1" x14ac:dyDescent="0.25">
      <c r="B23" s="49"/>
      <c r="C23" s="42"/>
      <c r="D23" s="50"/>
      <c r="E23" s="50"/>
      <c r="F23" s="45"/>
      <c r="G23" s="45"/>
      <c r="H23" s="45"/>
    </row>
    <row r="24" spans="1:20" s="9" customFormat="1" ht="14" customHeight="1" thickBot="1" x14ac:dyDescent="0.25">
      <c r="A24" s="9" t="s">
        <v>12</v>
      </c>
      <c r="B24" s="490" t="s">
        <v>54</v>
      </c>
      <c r="C24" s="491"/>
      <c r="D24" s="48"/>
      <c r="E24" s="48"/>
      <c r="F24" s="45"/>
      <c r="G24" s="45"/>
      <c r="H24" s="45"/>
    </row>
    <row r="25" spans="1:20" ht="14" customHeight="1" x14ac:dyDescent="0.2">
      <c r="B25" s="63"/>
      <c r="C25" s="73"/>
      <c r="D25" s="42"/>
      <c r="E25" s="492"/>
      <c r="F25" s="494" t="s">
        <v>56</v>
      </c>
      <c r="G25" s="494"/>
      <c r="H25" s="494"/>
      <c r="I25" s="494"/>
      <c r="J25" s="494"/>
      <c r="K25" s="495"/>
    </row>
    <row r="26" spans="1:20" s="9" customFormat="1" ht="14" customHeight="1" x14ac:dyDescent="0.2">
      <c r="B26" s="79" t="s">
        <v>55</v>
      </c>
      <c r="C26" s="349">
        <f>I21</f>
        <v>1512826.9037131551</v>
      </c>
      <c r="D26" s="50"/>
      <c r="E26" s="493"/>
      <c r="F26" s="220">
        <f>C44</f>
        <v>48.728476591456797</v>
      </c>
      <c r="G26" s="96">
        <f>H26-T28</f>
        <v>4.7499999999999994E-2</v>
      </c>
      <c r="H26" s="96">
        <f>I26-T28</f>
        <v>4.9999999999999996E-2</v>
      </c>
      <c r="I26" s="96">
        <v>5.2499999999999998E-2</v>
      </c>
      <c r="J26" s="96">
        <f>I26+T28</f>
        <v>5.5E-2</v>
      </c>
      <c r="K26" s="100">
        <f>J26+T28</f>
        <v>5.7500000000000002E-2</v>
      </c>
    </row>
    <row r="27" spans="1:20" ht="14" customHeight="1" thickBot="1" x14ac:dyDescent="0.25">
      <c r="B27" s="63"/>
      <c r="C27" s="73"/>
      <c r="D27" s="43"/>
      <c r="E27" s="499" t="s">
        <v>71</v>
      </c>
      <c r="F27" s="97">
        <f>F28-T27</f>
        <v>8.5751275219999992E-2</v>
      </c>
      <c r="G27" s="221">
        <f t="dataTable" ref="G27:K31" dt2D="1" dtr="1" r1="C29" r2="C82" ca="1"/>
        <v>58.230727178899137</v>
      </c>
      <c r="H27" s="221">
        <v>62.564556179885301</v>
      </c>
      <c r="I27" s="221">
        <v>67.550063796550489</v>
      </c>
      <c r="J27" s="221">
        <v>73.346189441410914</v>
      </c>
      <c r="K27" s="222">
        <v>80.168131726356521</v>
      </c>
      <c r="M27" s="143"/>
      <c r="N27" s="501"/>
      <c r="O27" s="501"/>
      <c r="S27" s="103" t="s">
        <v>97</v>
      </c>
      <c r="T27" s="104">
        <v>5.0000000000000001E-3</v>
      </c>
    </row>
    <row r="28" spans="1:20" s="9" customFormat="1" ht="14" customHeight="1" thickBot="1" x14ac:dyDescent="0.25">
      <c r="B28" s="63" t="s">
        <v>282</v>
      </c>
      <c r="C28" s="350">
        <f>H18</f>
        <v>545741.21697842982</v>
      </c>
      <c r="D28" s="50"/>
      <c r="E28" s="499"/>
      <c r="F28" s="97">
        <f>F29-T27</f>
        <v>9.0751275219999997E-2</v>
      </c>
      <c r="G28" s="223">
        <v>49.883204717248184</v>
      </c>
      <c r="H28" s="224">
        <v>53.184524403090009</v>
      </c>
      <c r="I28" s="225">
        <v>56.917374759066938</v>
      </c>
      <c r="J28" s="226">
        <v>61.172283465830851</v>
      </c>
      <c r="K28" s="227">
        <v>66.067003529995688</v>
      </c>
      <c r="M28" s="143"/>
      <c r="N28" s="237"/>
      <c r="O28" s="237"/>
      <c r="S28" s="105" t="s">
        <v>96</v>
      </c>
      <c r="T28" s="106">
        <f>0.0025</f>
        <v>2.5000000000000001E-3</v>
      </c>
    </row>
    <row r="29" spans="1:20" s="9" customFormat="1" ht="14" customHeight="1" thickBot="1" x14ac:dyDescent="0.25">
      <c r="B29" s="80" t="s">
        <v>56</v>
      </c>
      <c r="C29" s="112">
        <v>5.2499999999999998E-2</v>
      </c>
      <c r="D29" s="51"/>
      <c r="E29" s="499"/>
      <c r="F29" s="97">
        <f>9.575127522%</f>
        <v>9.5751275220000001E-2</v>
      </c>
      <c r="G29" s="223">
        <v>43.253213859899844</v>
      </c>
      <c r="H29" s="228">
        <v>45.841252053187723</v>
      </c>
      <c r="I29" s="229">
        <v>48.728476591863547</v>
      </c>
      <c r="J29" s="230">
        <v>51.969950724335973</v>
      </c>
      <c r="K29" s="227">
        <v>55.635132839591911</v>
      </c>
      <c r="M29" s="210"/>
      <c r="N29" s="315"/>
      <c r="O29" s="315"/>
    </row>
    <row r="30" spans="1:20" ht="14" customHeight="1" thickBot="1" x14ac:dyDescent="0.25">
      <c r="B30" s="74" t="s">
        <v>57</v>
      </c>
      <c r="C30" s="350">
        <f>C28*((1+C29)/(C82-C29))</f>
        <v>13280362.901310803</v>
      </c>
      <c r="D30" s="51"/>
      <c r="E30" s="499"/>
      <c r="F30" s="98">
        <f>F29+T27</f>
        <v>0.10075127522000001</v>
      </c>
      <c r="G30" s="223">
        <v>37.857824507212079</v>
      </c>
      <c r="H30" s="231">
        <v>39.933678763702382</v>
      </c>
      <c r="I30" s="232">
        <v>42.224641765715511</v>
      </c>
      <c r="J30" s="233">
        <v>44.765976259123889</v>
      </c>
      <c r="K30" s="227">
        <v>47.601097985449897</v>
      </c>
      <c r="M30" s="143"/>
      <c r="N30" s="143"/>
      <c r="O30" s="143"/>
    </row>
    <row r="31" spans="1:20" ht="14" customHeight="1" thickBot="1" x14ac:dyDescent="0.25">
      <c r="B31" s="63" t="s">
        <v>58</v>
      </c>
      <c r="C31" s="113">
        <v>5</v>
      </c>
      <c r="D31" s="51"/>
      <c r="E31" s="500"/>
      <c r="F31" s="99">
        <f>F30+T27</f>
        <v>0.10575127522000001</v>
      </c>
      <c r="G31" s="234">
        <v>33.379871651773385</v>
      </c>
      <c r="H31" s="235">
        <v>35.076319764967202</v>
      </c>
      <c r="I31" s="235">
        <v>36.932054966234048</v>
      </c>
      <c r="J31" s="235">
        <v>38.970616627843278</v>
      </c>
      <c r="K31" s="236">
        <v>41.220422619505392</v>
      </c>
      <c r="M31" s="143"/>
      <c r="N31" s="143"/>
      <c r="O31" s="208"/>
    </row>
    <row r="32" spans="1:20" ht="14" customHeight="1" x14ac:dyDescent="0.2">
      <c r="B32" s="79" t="s">
        <v>59</v>
      </c>
      <c r="C32" s="349">
        <f>C30/(1+C82)^C31</f>
        <v>8407173.67283554</v>
      </c>
      <c r="D32" s="48"/>
      <c r="E32" s="48"/>
      <c r="F32" s="51"/>
      <c r="G32" s="94"/>
      <c r="H32" s="94"/>
      <c r="I32" s="95"/>
      <c r="J32" s="95"/>
      <c r="K32" s="95"/>
      <c r="M32" s="143"/>
      <c r="N32" s="143"/>
      <c r="O32" s="143"/>
    </row>
    <row r="33" spans="1:17" ht="14" customHeight="1" x14ac:dyDescent="0.2">
      <c r="B33" s="63"/>
      <c r="C33" s="350"/>
      <c r="D33" s="53"/>
      <c r="E33" s="53"/>
      <c r="F33" s="53"/>
      <c r="G33" s="53"/>
      <c r="H33" s="40"/>
      <c r="M33" s="317"/>
      <c r="N33" s="317"/>
      <c r="O33" s="143"/>
    </row>
    <row r="34" spans="1:17" ht="14" customHeight="1" x14ac:dyDescent="0.2">
      <c r="B34" s="79" t="s">
        <v>72</v>
      </c>
      <c r="C34" s="349">
        <f>(C30/(1+C82)^C31)+I21</f>
        <v>9920000.5765486956</v>
      </c>
      <c r="D34" s="23"/>
      <c r="E34" s="23"/>
      <c r="F34" s="26"/>
      <c r="M34" s="238"/>
      <c r="N34" s="238"/>
      <c r="O34" s="143"/>
    </row>
    <row r="35" spans="1:17" ht="14" customHeight="1" x14ac:dyDescent="0.2">
      <c r="B35" s="215" t="s">
        <v>149</v>
      </c>
      <c r="C35" s="351">
        <f>C57</f>
        <v>1848041</v>
      </c>
      <c r="D35" s="23"/>
      <c r="E35" s="23"/>
      <c r="F35" s="26"/>
      <c r="M35" s="238"/>
      <c r="N35" s="238"/>
      <c r="O35" s="143"/>
    </row>
    <row r="36" spans="1:17" ht="14" customHeight="1" x14ac:dyDescent="0.2">
      <c r="B36" s="79" t="s">
        <v>46</v>
      </c>
      <c r="C36" s="349">
        <f>C34-C35</f>
        <v>8071959.5765486956</v>
      </c>
      <c r="D36" s="23"/>
      <c r="E36" s="23"/>
      <c r="F36" s="26"/>
      <c r="M36" s="238"/>
      <c r="N36" s="238"/>
      <c r="O36" s="143"/>
    </row>
    <row r="37" spans="1:17" ht="14" customHeight="1" x14ac:dyDescent="0.2">
      <c r="B37" s="217"/>
      <c r="C37" s="216"/>
      <c r="D37" s="23"/>
      <c r="E37" s="23"/>
      <c r="F37" s="26"/>
      <c r="M37" s="238"/>
      <c r="N37" s="238"/>
      <c r="O37" s="143"/>
    </row>
    <row r="38" spans="1:17" ht="14" customHeight="1" x14ac:dyDescent="0.2">
      <c r="B38" s="79" t="s">
        <v>141</v>
      </c>
      <c r="C38" s="219">
        <f>'Income Statement'!R32</f>
        <v>188923</v>
      </c>
      <c r="D38" s="23"/>
      <c r="E38" s="23"/>
      <c r="F38" s="26"/>
      <c r="M38" s="238"/>
      <c r="N38" s="238"/>
      <c r="O38" s="143"/>
    </row>
    <row r="39" spans="1:17" ht="14" customHeight="1" x14ac:dyDescent="0.2">
      <c r="B39" s="217"/>
      <c r="C39" s="216"/>
      <c r="D39" s="23"/>
      <c r="E39" s="23"/>
      <c r="F39" s="26"/>
      <c r="M39" s="238"/>
      <c r="N39" s="238"/>
      <c r="O39" s="143"/>
    </row>
    <row r="40" spans="1:17" ht="14" customHeight="1" x14ac:dyDescent="0.2">
      <c r="B40" s="217" t="s">
        <v>150</v>
      </c>
      <c r="C40" s="353">
        <f>C36/C38</f>
        <v>42.726187793697406</v>
      </c>
      <c r="D40" s="23"/>
      <c r="E40" s="23"/>
      <c r="F40" s="26"/>
      <c r="M40" s="238"/>
      <c r="N40" s="238"/>
      <c r="O40" s="143"/>
    </row>
    <row r="41" spans="1:17" ht="14" customHeight="1" x14ac:dyDescent="0.2">
      <c r="B41" s="79" t="s">
        <v>284</v>
      </c>
      <c r="C41" s="354">
        <f>Documentation!D12</f>
        <v>1.0595000000000001</v>
      </c>
      <c r="D41" s="23">
        <f>E41/C41</f>
        <v>1.0764347962875569</v>
      </c>
      <c r="E41" s="1">
        <v>1.1404826666666665</v>
      </c>
      <c r="F41" s="26"/>
      <c r="M41" s="238"/>
      <c r="N41" s="238"/>
      <c r="O41" s="143"/>
    </row>
    <row r="42" spans="1:17" ht="14" customHeight="1" x14ac:dyDescent="0.2">
      <c r="B42" s="215" t="s">
        <v>150</v>
      </c>
      <c r="C42" s="401">
        <f>C40*C41</f>
        <v>45.268395967422407</v>
      </c>
      <c r="D42" s="23"/>
      <c r="F42" s="26"/>
      <c r="M42" s="238"/>
      <c r="N42" s="238"/>
      <c r="O42" s="143"/>
    </row>
    <row r="43" spans="1:17" ht="14" customHeight="1" x14ac:dyDescent="0.2">
      <c r="B43" s="79" t="s">
        <v>336</v>
      </c>
      <c r="C43" s="354">
        <f>E41</f>
        <v>1.1404826666666665</v>
      </c>
      <c r="D43" s="23"/>
      <c r="F43" s="26"/>
      <c r="M43" s="238"/>
      <c r="N43" s="238"/>
      <c r="O43" s="143"/>
    </row>
    <row r="44" spans="1:17" ht="14" customHeight="1" thickBot="1" x14ac:dyDescent="0.25">
      <c r="A44" s="1" t="s">
        <v>12</v>
      </c>
      <c r="B44" s="400" t="s">
        <v>337</v>
      </c>
      <c r="C44" s="402">
        <f>C40*C43</f>
        <v>48.728476591456797</v>
      </c>
      <c r="D44" s="399">
        <f>C40*D41</f>
        <v>45.991955253852566</v>
      </c>
      <c r="E44" s="23"/>
      <c r="F44" s="26"/>
      <c r="M44" s="238"/>
      <c r="N44" s="238"/>
      <c r="O44" s="143"/>
    </row>
    <row r="45" spans="1:17" ht="14" customHeight="1" thickBot="1" x14ac:dyDescent="0.25">
      <c r="B45" s="26"/>
      <c r="C45" s="32"/>
      <c r="D45" s="23"/>
      <c r="E45" s="23"/>
      <c r="M45" s="143"/>
      <c r="N45" s="143"/>
      <c r="O45" s="143"/>
    </row>
    <row r="46" spans="1:17" ht="14" customHeight="1" thickBot="1" x14ac:dyDescent="0.25">
      <c r="A46" s="1" t="s">
        <v>12</v>
      </c>
      <c r="B46" s="490" t="s">
        <v>61</v>
      </c>
      <c r="C46" s="491"/>
      <c r="D46" s="23"/>
      <c r="E46" s="42"/>
      <c r="F46" s="502"/>
      <c r="G46" s="502"/>
      <c r="H46" s="502"/>
      <c r="I46" s="502"/>
      <c r="J46" s="502"/>
      <c r="K46" s="502"/>
      <c r="M46" s="143"/>
      <c r="N46" s="143"/>
      <c r="O46" s="143"/>
    </row>
    <row r="47" spans="1:17" ht="14" customHeight="1" x14ac:dyDescent="0.2">
      <c r="B47" s="63"/>
      <c r="C47" s="73"/>
      <c r="D47" s="23"/>
      <c r="E47" s="492"/>
      <c r="F47" s="494" t="s">
        <v>61</v>
      </c>
      <c r="G47" s="494"/>
      <c r="H47" s="494"/>
      <c r="I47" s="494"/>
      <c r="J47" s="494"/>
      <c r="K47" s="495"/>
      <c r="L47" s="9"/>
      <c r="M47" s="143"/>
      <c r="N47" s="143"/>
      <c r="O47" s="143"/>
    </row>
    <row r="48" spans="1:17" ht="14" customHeight="1" x14ac:dyDescent="0.2">
      <c r="B48" s="79" t="s">
        <v>55</v>
      </c>
      <c r="C48" s="349">
        <f>I21</f>
        <v>1512826.9037131551</v>
      </c>
      <c r="D48" s="23"/>
      <c r="E48" s="493"/>
      <c r="F48" s="220">
        <f>C66</f>
        <v>96.46692782626026</v>
      </c>
      <c r="G48" s="101">
        <f>H48-Q48</f>
        <v>10.5</v>
      </c>
      <c r="H48" s="101">
        <f>I48-Q48</f>
        <v>11</v>
      </c>
      <c r="I48" s="101">
        <v>11.5</v>
      </c>
      <c r="J48" s="101">
        <f>I48+Q48</f>
        <v>12</v>
      </c>
      <c r="K48" s="102">
        <f>J48+Q48</f>
        <v>12.5</v>
      </c>
      <c r="M48" s="143"/>
      <c r="N48" s="501"/>
      <c r="O48" s="501"/>
      <c r="P48" s="107" t="s">
        <v>96</v>
      </c>
      <c r="Q48" s="90">
        <f>0.5</f>
        <v>0.5</v>
      </c>
    </row>
    <row r="49" spans="2:22" ht="14" customHeight="1" thickBot="1" x14ac:dyDescent="0.25">
      <c r="B49" s="63"/>
      <c r="C49" s="75"/>
      <c r="D49" s="26"/>
      <c r="E49" s="496" t="s">
        <v>71</v>
      </c>
      <c r="F49" s="97">
        <f>F50-T27</f>
        <v>8.5751275219999992E-2</v>
      </c>
      <c r="G49" s="221">
        <f t="dataTable" ref="G49:K53" dt2D="1" dtr="1" r1="C51" r2="C82"/>
        <v>92.582512812031382</v>
      </c>
      <c r="H49" s="221">
        <v>97.065575812364528</v>
      </c>
      <c r="I49" s="221">
        <v>101.54863881269772</v>
      </c>
      <c r="J49" s="221">
        <v>106.03170181303084</v>
      </c>
      <c r="K49" s="222">
        <v>110.51476481336401</v>
      </c>
      <c r="L49" s="9"/>
      <c r="M49" s="143"/>
      <c r="N49" s="204"/>
      <c r="O49" s="204"/>
    </row>
    <row r="50" spans="2:22" ht="14" customHeight="1" thickBot="1" x14ac:dyDescent="0.25">
      <c r="B50" s="63" t="s">
        <v>283</v>
      </c>
      <c r="C50" s="350">
        <f>H10</f>
        <v>2241056.0698791887</v>
      </c>
      <c r="D50" s="26"/>
      <c r="E50" s="497"/>
      <c r="F50" s="97">
        <f>F51-T27</f>
        <v>9.0751275219999997E-2</v>
      </c>
      <c r="G50" s="223">
        <v>90.210079300678416</v>
      </c>
      <c r="H50" s="224">
        <v>94.591328294801727</v>
      </c>
      <c r="I50" s="225">
        <v>98.972577288925038</v>
      </c>
      <c r="J50" s="226">
        <v>103.35382628304833</v>
      </c>
      <c r="K50" s="227">
        <v>107.73507527717162</v>
      </c>
      <c r="L50" s="9"/>
      <c r="M50" s="210"/>
      <c r="N50" s="315"/>
      <c r="O50" s="315"/>
    </row>
    <row r="51" spans="2:22" ht="14" customHeight="1" thickBot="1" x14ac:dyDescent="0.25">
      <c r="B51" s="80" t="s">
        <v>62</v>
      </c>
      <c r="C51" s="114">
        <v>11.5</v>
      </c>
      <c r="D51" s="32"/>
      <c r="E51" s="497"/>
      <c r="F51" s="97">
        <v>9.5751275220000001E-2</v>
      </c>
      <c r="G51" s="223">
        <v>87.902533511539147</v>
      </c>
      <c r="H51" s="228">
        <v>92.18473066896901</v>
      </c>
      <c r="I51" s="229">
        <v>96.466927826398887</v>
      </c>
      <c r="J51" s="230">
        <v>100.74912498382875</v>
      </c>
      <c r="K51" s="227">
        <v>105.03132214125863</v>
      </c>
      <c r="M51" s="143"/>
      <c r="N51" s="143"/>
      <c r="O51" s="143"/>
    </row>
    <row r="52" spans="2:22" ht="14" customHeight="1" thickBot="1" x14ac:dyDescent="0.25">
      <c r="B52" s="74" t="s">
        <v>57</v>
      </c>
      <c r="C52" s="350">
        <f>C50*C51</f>
        <v>25772144.803610671</v>
      </c>
      <c r="E52" s="497"/>
      <c r="F52" s="98">
        <f>F51+T27</f>
        <v>0.10075127522000001</v>
      </c>
      <c r="G52" s="223">
        <v>85.657813028387054</v>
      </c>
      <c r="H52" s="231">
        <v>89.843633486891306</v>
      </c>
      <c r="I52" s="232">
        <v>94.029453945395531</v>
      </c>
      <c r="J52" s="233">
        <v>98.215274403899798</v>
      </c>
      <c r="K52" s="227">
        <v>102.40109486240405</v>
      </c>
      <c r="M52" s="143"/>
      <c r="N52" s="143"/>
      <c r="O52" s="143"/>
      <c r="V52" s="1">
        <f>71.89</f>
        <v>71.89</v>
      </c>
    </row>
    <row r="53" spans="2:22" ht="14" customHeight="1" thickBot="1" x14ac:dyDescent="0.25">
      <c r="B53" s="63" t="s">
        <v>58</v>
      </c>
      <c r="C53" s="113">
        <v>5</v>
      </c>
      <c r="E53" s="498"/>
      <c r="F53" s="99">
        <f>F52+T27</f>
        <v>0.10575127522000001</v>
      </c>
      <c r="G53" s="234">
        <v>83.47393003992542</v>
      </c>
      <c r="H53" s="235">
        <v>87.565965025444683</v>
      </c>
      <c r="I53" s="235">
        <v>91.65800001096396</v>
      </c>
      <c r="J53" s="235">
        <v>95.750034996483237</v>
      </c>
      <c r="K53" s="236">
        <v>99.842069982002556</v>
      </c>
      <c r="M53" s="208"/>
      <c r="N53" s="208"/>
      <c r="O53" s="208"/>
      <c r="V53" s="1">
        <v>67.75</v>
      </c>
    </row>
    <row r="54" spans="2:22" ht="14" customHeight="1" x14ac:dyDescent="0.2">
      <c r="B54" s="79" t="s">
        <v>59</v>
      </c>
      <c r="C54" s="349">
        <f>C52/(1+C82)^C53</f>
        <v>16315133.772740124</v>
      </c>
      <c r="M54" s="208"/>
      <c r="N54" s="208"/>
      <c r="O54" s="143"/>
      <c r="V54" s="1">
        <f>V52/V53</f>
        <v>1.0611070110701106</v>
      </c>
    </row>
    <row r="55" spans="2:22" ht="14" customHeight="1" x14ac:dyDescent="0.2">
      <c r="B55" s="74"/>
      <c r="C55" s="76"/>
      <c r="M55" s="143"/>
      <c r="N55" s="143"/>
      <c r="O55" s="143"/>
    </row>
    <row r="56" spans="2:22" ht="14" customHeight="1" x14ac:dyDescent="0.2">
      <c r="B56" s="79" t="s">
        <v>60</v>
      </c>
      <c r="C56" s="349">
        <f>SUM(C54+C48)</f>
        <v>17827960.676453277</v>
      </c>
      <c r="M56" s="143"/>
      <c r="N56" s="143"/>
      <c r="O56" s="143"/>
    </row>
    <row r="57" spans="2:22" ht="14" customHeight="1" x14ac:dyDescent="0.2">
      <c r="B57" s="215" t="s">
        <v>149</v>
      </c>
      <c r="C57" s="351">
        <f>C69*1000</f>
        <v>1848041</v>
      </c>
    </row>
    <row r="58" spans="2:22" ht="14" customHeight="1" x14ac:dyDescent="0.2">
      <c r="B58" s="79" t="s">
        <v>46</v>
      </c>
      <c r="C58" s="349">
        <f>C56-C57</f>
        <v>15979919.676453277</v>
      </c>
    </row>
    <row r="59" spans="2:22" ht="14" customHeight="1" x14ac:dyDescent="0.2">
      <c r="B59" s="217"/>
      <c r="C59" s="216"/>
    </row>
    <row r="60" spans="2:22" ht="14" customHeight="1" x14ac:dyDescent="0.2">
      <c r="B60" s="79" t="s">
        <v>141</v>
      </c>
      <c r="C60" s="218">
        <f>C38</f>
        <v>188923</v>
      </c>
    </row>
    <row r="61" spans="2:22" ht="14" customHeight="1" x14ac:dyDescent="0.2">
      <c r="B61" s="217"/>
      <c r="C61" s="216"/>
    </row>
    <row r="62" spans="2:22" ht="14" customHeight="1" x14ac:dyDescent="0.2">
      <c r="B62" s="217" t="s">
        <v>150</v>
      </c>
      <c r="C62" s="353">
        <f>C58/C60</f>
        <v>84.584299828254245</v>
      </c>
    </row>
    <row r="63" spans="2:22" ht="12.75" customHeight="1" x14ac:dyDescent="0.2">
      <c r="B63" s="79" t="s">
        <v>284</v>
      </c>
      <c r="C63" s="354">
        <f>C41</f>
        <v>1.0595000000000001</v>
      </c>
      <c r="D63" s="394">
        <f>E41/C63</f>
        <v>1.0764347962875569</v>
      </c>
    </row>
    <row r="64" spans="2:22" ht="12.75" customHeight="1" x14ac:dyDescent="0.2">
      <c r="B64" s="217" t="s">
        <v>150</v>
      </c>
      <c r="C64" s="404">
        <f>C62*C63</f>
        <v>89.61706566803538</v>
      </c>
      <c r="D64" s="394"/>
    </row>
    <row r="65" spans="1:4" ht="12.75" customHeight="1" x14ac:dyDescent="0.2">
      <c r="B65" s="79" t="s">
        <v>338</v>
      </c>
      <c r="C65" s="354">
        <f>E41</f>
        <v>1.1404826666666665</v>
      </c>
      <c r="D65" s="394"/>
    </row>
    <row r="66" spans="1:4" ht="14" customHeight="1" thickBot="1" x14ac:dyDescent="0.25">
      <c r="A66" s="1" t="s">
        <v>12</v>
      </c>
      <c r="B66" s="81" t="s">
        <v>337</v>
      </c>
      <c r="C66" s="352">
        <f>C65*C62</f>
        <v>96.46692782626026</v>
      </c>
      <c r="D66" s="1">
        <f>D63*C62</f>
        <v>91.049483554752499</v>
      </c>
    </row>
    <row r="67" spans="1:4" ht="14" customHeight="1" thickBot="1" x14ac:dyDescent="0.25">
      <c r="B67" s="77"/>
      <c r="C67" s="78"/>
    </row>
    <row r="68" spans="1:4" ht="14" customHeight="1" thickBot="1" x14ac:dyDescent="0.25">
      <c r="A68" s="1" t="s">
        <v>12</v>
      </c>
      <c r="B68" s="490" t="s">
        <v>63</v>
      </c>
      <c r="C68" s="491"/>
    </row>
    <row r="69" spans="1:4" ht="14" customHeight="1" x14ac:dyDescent="0.2">
      <c r="B69" s="320" t="s">
        <v>64</v>
      </c>
      <c r="C69" s="359">
        <f>'Balance Sheet'!E30/1000</f>
        <v>1848.0409999999999</v>
      </c>
    </row>
    <row r="70" spans="1:4" ht="14" customHeight="1" x14ac:dyDescent="0.2">
      <c r="B70" s="331" t="s">
        <v>77</v>
      </c>
      <c r="C70" s="357">
        <f>D87*D88/1000</f>
        <v>12799.53325</v>
      </c>
    </row>
    <row r="71" spans="1:4" ht="14" customHeight="1" x14ac:dyDescent="0.2">
      <c r="B71" s="322" t="s">
        <v>65</v>
      </c>
      <c r="C71" s="358">
        <f>SUM(C69:C70)</f>
        <v>14647.57425</v>
      </c>
    </row>
    <row r="72" spans="1:4" ht="14" customHeight="1" x14ac:dyDescent="0.2">
      <c r="B72" s="324"/>
      <c r="C72" s="323"/>
    </row>
    <row r="73" spans="1:4" ht="14" customHeight="1" x14ac:dyDescent="0.2">
      <c r="B73" s="320" t="s">
        <v>66</v>
      </c>
      <c r="C73" s="403">
        <v>1.0449999999999999</v>
      </c>
    </row>
    <row r="74" spans="1:4" ht="14" customHeight="1" x14ac:dyDescent="0.2">
      <c r="B74" s="320" t="s">
        <v>73</v>
      </c>
      <c r="C74" s="346">
        <v>0.08</v>
      </c>
    </row>
    <row r="75" spans="1:4" ht="14" customHeight="1" x14ac:dyDescent="0.2">
      <c r="B75" s="331" t="s">
        <v>68</v>
      </c>
      <c r="C75" s="345">
        <v>2.384E-2</v>
      </c>
    </row>
    <row r="76" spans="1:4" ht="14" customHeight="1" x14ac:dyDescent="0.2">
      <c r="B76" s="325" t="s">
        <v>69</v>
      </c>
      <c r="C76" s="326">
        <f>C75+(C74)*C73</f>
        <v>0.10743999999999999</v>
      </c>
    </row>
    <row r="77" spans="1:4" ht="14" customHeight="1" x14ac:dyDescent="0.2">
      <c r="B77" s="327"/>
      <c r="C77" s="328"/>
    </row>
    <row r="78" spans="1:4" ht="14" customHeight="1" x14ac:dyDescent="0.2">
      <c r="B78" s="329" t="s">
        <v>75</v>
      </c>
      <c r="C78" s="347">
        <v>2.1000000000000001E-2</v>
      </c>
    </row>
    <row r="79" spans="1:4" ht="14" customHeight="1" x14ac:dyDescent="0.2">
      <c r="B79" s="333" t="s">
        <v>16</v>
      </c>
      <c r="C79" s="348">
        <f>'Income Statement'!M47</f>
        <v>0.29546860596489311</v>
      </c>
    </row>
    <row r="80" spans="1:4" ht="14" customHeight="1" x14ac:dyDescent="0.2">
      <c r="B80" s="325" t="s">
        <v>70</v>
      </c>
      <c r="C80" s="326">
        <f>C78*(1-C79)</f>
        <v>1.4795159274737246E-2</v>
      </c>
    </row>
    <row r="81" spans="1:4" ht="14" customHeight="1" x14ac:dyDescent="0.2">
      <c r="B81" s="329"/>
      <c r="C81" s="330"/>
    </row>
    <row r="82" spans="1:4" ht="14" customHeight="1" thickBot="1" x14ac:dyDescent="0.25">
      <c r="A82" s="1" t="s">
        <v>12</v>
      </c>
      <c r="B82" s="84" t="s">
        <v>71</v>
      </c>
      <c r="C82" s="214">
        <f>((C69*C80)+(C70*C76))/C71</f>
        <v>9.5751275220280568E-2</v>
      </c>
    </row>
    <row r="84" spans="1:4" ht="14" customHeight="1" x14ac:dyDescent="0.2">
      <c r="A84" s="1" t="s">
        <v>12</v>
      </c>
      <c r="B84" s="9" t="s">
        <v>74</v>
      </c>
    </row>
    <row r="85" spans="1:4" ht="14" customHeight="1" x14ac:dyDescent="0.2">
      <c r="B85" s="1" t="s">
        <v>92</v>
      </c>
      <c r="C85" s="93"/>
    </row>
    <row r="86" spans="1:4" ht="14" customHeight="1" x14ac:dyDescent="0.2">
      <c r="B86" s="1" t="s">
        <v>285</v>
      </c>
      <c r="C86" s="93"/>
      <c r="D86" s="355">
        <f>'Income Statement'!M20+-'Fixed Asset'!E11</f>
        <v>842799</v>
      </c>
    </row>
    <row r="87" spans="1:4" ht="14" customHeight="1" x14ac:dyDescent="0.2">
      <c r="B87" s="1" t="s">
        <v>141</v>
      </c>
      <c r="C87" s="93"/>
      <c r="D87" s="356">
        <f>'Income Statement'!M32</f>
        <v>188923</v>
      </c>
    </row>
    <row r="88" spans="1:4" ht="14" customHeight="1" x14ac:dyDescent="0.2">
      <c r="B88" s="1" t="s">
        <v>287</v>
      </c>
      <c r="C88" s="93"/>
      <c r="D88" s="1">
        <v>67.75</v>
      </c>
    </row>
    <row r="89" spans="1:4" ht="14" customHeight="1" x14ac:dyDescent="0.2">
      <c r="C89" s="93"/>
    </row>
    <row r="90" spans="1:4" ht="14" customHeight="1" x14ac:dyDescent="0.2">
      <c r="C90" s="93"/>
    </row>
    <row r="91" spans="1:4" ht="14" customHeight="1" x14ac:dyDescent="0.2">
      <c r="C91" s="93"/>
    </row>
    <row r="92" spans="1:4" ht="14" customHeight="1" x14ac:dyDescent="0.2">
      <c r="C92" s="93"/>
    </row>
    <row r="93" spans="1:4" ht="14" customHeight="1" x14ac:dyDescent="0.2">
      <c r="C93" s="93"/>
    </row>
    <row r="94" spans="1:4" ht="14" customHeight="1" x14ac:dyDescent="0.2">
      <c r="C94" s="93"/>
    </row>
    <row r="95" spans="1:4" ht="14" customHeight="1" x14ac:dyDescent="0.2">
      <c r="C95" s="93"/>
    </row>
    <row r="96" spans="1:4" ht="14" customHeight="1" x14ac:dyDescent="0.2">
      <c r="C96" s="93"/>
    </row>
    <row r="97" spans="2:7" ht="14" customHeight="1" x14ac:dyDescent="0.2">
      <c r="C97" s="93"/>
    </row>
    <row r="98" spans="2:7" ht="14" customHeight="1" x14ac:dyDescent="0.2">
      <c r="B98" s="9"/>
    </row>
    <row r="99" spans="2:7" ht="14" customHeight="1" x14ac:dyDescent="0.2">
      <c r="B99" s="1" t="s">
        <v>85</v>
      </c>
      <c r="C99" s="318" t="s">
        <v>78</v>
      </c>
      <c r="D99" s="318" t="s">
        <v>81</v>
      </c>
      <c r="E99" s="318" t="s">
        <v>79</v>
      </c>
      <c r="F99" s="318" t="s">
        <v>80</v>
      </c>
      <c r="G99" s="318" t="s">
        <v>84</v>
      </c>
    </row>
    <row r="100" spans="2:7" ht="14" customHeight="1" x14ac:dyDescent="0.2">
      <c r="B100" s="1" t="s">
        <v>86</v>
      </c>
      <c r="C100" s="86">
        <v>0.12928999999999999</v>
      </c>
      <c r="D100" s="86">
        <v>4.8439000000000003E-2</v>
      </c>
      <c r="E100" s="86">
        <v>8.8347999999999996E-2</v>
      </c>
      <c r="F100" s="86">
        <v>0.13877</v>
      </c>
      <c r="G100" s="82">
        <f>(C100*0.6)+(D100*0.25)+(E100*0.1)+(F100*0.05)</f>
        <v>0.10545705</v>
      </c>
    </row>
    <row r="101" spans="2:7" ht="14" customHeight="1" x14ac:dyDescent="0.2">
      <c r="B101" s="1" t="s">
        <v>82</v>
      </c>
      <c r="C101" s="86">
        <v>4.2688999999999998E-2</v>
      </c>
      <c r="D101" s="86">
        <v>2.8835E-2</v>
      </c>
      <c r="E101" s="86">
        <v>5.2367999999999998E-2</v>
      </c>
      <c r="F101" s="86">
        <v>0.14191799999999999</v>
      </c>
      <c r="G101" s="82">
        <f>(C101*0.6)+(D101*0.25)+(E101*0.1)+(F101*0.05)</f>
        <v>4.5154849999999996E-2</v>
      </c>
    </row>
    <row r="102" spans="2:7" ht="14" customHeight="1" x14ac:dyDescent="0.2">
      <c r="B102" s="1" t="s">
        <v>83</v>
      </c>
      <c r="C102" s="86">
        <v>8.6757000000000001E-2</v>
      </c>
      <c r="D102" s="86">
        <v>7.7480999999999994E-2</v>
      </c>
      <c r="E102" s="86">
        <v>9.2162999999999995E-2</v>
      </c>
      <c r="F102" s="86">
        <v>0.137493</v>
      </c>
      <c r="G102" s="82">
        <f>(C102*0.6)+(D102*0.25)+(E102*0.1)+(F102*0.05)</f>
        <v>8.7515399999999993E-2</v>
      </c>
    </row>
    <row r="103" spans="2:7" ht="14" customHeight="1" x14ac:dyDescent="0.2">
      <c r="B103" s="1" t="s">
        <v>87</v>
      </c>
      <c r="C103" s="86">
        <v>0.10647</v>
      </c>
      <c r="D103" s="86">
        <v>-9.7909999999999994E-3</v>
      </c>
      <c r="E103" s="86">
        <v>2.2037000000000001E-2</v>
      </c>
      <c r="F103" s="86">
        <v>6.1048999999999999E-2</v>
      </c>
      <c r="G103" s="82">
        <f>(C103*0.6)+(D103*0.25)+(E103*0.1)+(F103*0.05)</f>
        <v>6.6690399999999997E-2</v>
      </c>
    </row>
    <row r="104" spans="2:7" ht="14" customHeight="1" x14ac:dyDescent="0.2">
      <c r="B104" s="1" t="s">
        <v>88</v>
      </c>
      <c r="C104" s="86">
        <v>-8.2161999999999999E-2</v>
      </c>
      <c r="D104" s="86">
        <v>0.30473</v>
      </c>
      <c r="E104" s="86">
        <v>0.11368</v>
      </c>
      <c r="F104" s="86">
        <v>4.9502999999999998E-2</v>
      </c>
      <c r="G104" s="86">
        <f>(C104*0.6)+(D104*0.25)+(E104*0.1)+(F104*0.05)</f>
        <v>4.0728450000000006E-2</v>
      </c>
    </row>
    <row r="105" spans="2:7" ht="14" customHeight="1" x14ac:dyDescent="0.2">
      <c r="B105" s="9" t="s">
        <v>67</v>
      </c>
      <c r="C105" s="88">
        <f>(G100*0.5)+(G101*0.1)+(G102*0.15)+(G103*0.2)+(G104*0.05)</f>
        <v>8.5745822499999999E-2</v>
      </c>
      <c r="D105" s="86"/>
      <c r="E105" s="86"/>
      <c r="F105" s="86"/>
    </row>
    <row r="107" spans="2:7" ht="14" customHeight="1" x14ac:dyDescent="0.2">
      <c r="B107" s="9" t="s">
        <v>91</v>
      </c>
      <c r="C107" s="82" t="s">
        <v>92</v>
      </c>
      <c r="D107" s="1" t="s">
        <v>93</v>
      </c>
      <c r="E107" s="1" t="s">
        <v>94</v>
      </c>
    </row>
    <row r="108" spans="2:7" ht="14" customHeight="1" x14ac:dyDescent="0.2">
      <c r="B108" s="26" t="s">
        <v>38</v>
      </c>
      <c r="C108" s="85">
        <v>1505</v>
      </c>
      <c r="D108" s="64">
        <v>8930.2731578300009</v>
      </c>
      <c r="E108" s="65"/>
    </row>
    <row r="109" spans="2:7" ht="14" customHeight="1" x14ac:dyDescent="0.2">
      <c r="B109" s="40" t="s">
        <v>39</v>
      </c>
      <c r="C109" s="85">
        <v>9274.7049999999999</v>
      </c>
      <c r="D109" s="64">
        <v>71153.563048919998</v>
      </c>
      <c r="E109" s="65"/>
    </row>
    <row r="110" spans="2:7" ht="14" customHeight="1" x14ac:dyDescent="0.2">
      <c r="B110" s="40" t="s">
        <v>40</v>
      </c>
      <c r="C110" s="85">
        <v>5250.7539999999999</v>
      </c>
      <c r="D110" s="64">
        <v>18106.1186304</v>
      </c>
      <c r="E110" s="65"/>
    </row>
    <row r="111" spans="2:7" ht="14" customHeight="1" x14ac:dyDescent="0.2">
      <c r="B111" s="40" t="s">
        <v>41</v>
      </c>
      <c r="C111" s="85">
        <v>19.690000000000001</v>
      </c>
      <c r="D111" s="64">
        <v>165.45272119999998</v>
      </c>
      <c r="E111" s="65">
        <f t="shared" ref="E111:E116" si="5">D111/C111</f>
        <v>8.4028807110208206</v>
      </c>
    </row>
    <row r="112" spans="2:7" ht="14" customHeight="1" x14ac:dyDescent="0.2">
      <c r="B112" s="26" t="s">
        <v>43</v>
      </c>
      <c r="C112" s="85">
        <v>112.86750000000001</v>
      </c>
      <c r="D112" s="64">
        <v>888.58531498204695</v>
      </c>
      <c r="E112" s="65">
        <f t="shared" si="5"/>
        <v>7.8728182601904617</v>
      </c>
    </row>
    <row r="113" spans="2:5" ht="14" customHeight="1" x14ac:dyDescent="0.2">
      <c r="B113" s="26" t="s">
        <v>44</v>
      </c>
      <c r="C113" s="85">
        <v>1196.1297</v>
      </c>
      <c r="D113" s="64">
        <v>894.43591214157038</v>
      </c>
      <c r="E113" s="65">
        <f t="shared" si="5"/>
        <v>0.74777502150608788</v>
      </c>
    </row>
    <row r="114" spans="2:5" ht="14" customHeight="1" x14ac:dyDescent="0.2">
      <c r="B114" s="26" t="s">
        <v>45</v>
      </c>
      <c r="C114" s="85">
        <v>219.9025</v>
      </c>
      <c r="D114" s="64">
        <v>1855.5652110906613</v>
      </c>
      <c r="E114" s="65">
        <f t="shared" si="5"/>
        <v>8.4381269475820471</v>
      </c>
    </row>
    <row r="115" spans="2:5" ht="14" customHeight="1" x14ac:dyDescent="0.2">
      <c r="B115" s="26" t="s">
        <v>53</v>
      </c>
      <c r="C115" s="85">
        <v>287.55930000000001</v>
      </c>
      <c r="D115" s="64">
        <v>3809.4109769230772</v>
      </c>
      <c r="E115" s="65">
        <f t="shared" si="5"/>
        <v>13.247392718382182</v>
      </c>
    </row>
    <row r="116" spans="2:5" ht="14" customHeight="1" x14ac:dyDescent="0.2">
      <c r="B116" s="26" t="s">
        <v>42</v>
      </c>
      <c r="C116" s="85">
        <v>323.51900000000001</v>
      </c>
      <c r="D116" s="66">
        <v>2345.7698774999999</v>
      </c>
      <c r="E116" s="65">
        <f t="shared" si="5"/>
        <v>7.2507947833048441</v>
      </c>
    </row>
    <row r="117" spans="2:5" ht="14" customHeight="1" x14ac:dyDescent="0.2">
      <c r="B117" s="9" t="s">
        <v>95</v>
      </c>
      <c r="E117" s="91">
        <f>AVERAGE(E108:E116)</f>
        <v>7.6599647403310742</v>
      </c>
    </row>
    <row r="118" spans="2:5" ht="14" customHeight="1" x14ac:dyDescent="0.2">
      <c r="B118" s="9" t="s">
        <v>49</v>
      </c>
      <c r="E118" s="91">
        <f>_xlfn.QUARTILE.EXC(E108:E116,2)</f>
        <v>8.137849485605642</v>
      </c>
    </row>
    <row r="119" spans="2:5" ht="14" customHeight="1" x14ac:dyDescent="0.2">
      <c r="B119" s="9" t="s">
        <v>94</v>
      </c>
      <c r="E119" s="92">
        <f>AVERAGE(E117:E118)</f>
        <v>7.8989071129683577</v>
      </c>
    </row>
  </sheetData>
  <mergeCells count="15">
    <mergeCell ref="E49:E53"/>
    <mergeCell ref="B68:C68"/>
    <mergeCell ref="E27:E31"/>
    <mergeCell ref="N27:O27"/>
    <mergeCell ref="B46:C46"/>
    <mergeCell ref="F46:K46"/>
    <mergeCell ref="E47:E48"/>
    <mergeCell ref="F47:K47"/>
    <mergeCell ref="N48:O48"/>
    <mergeCell ref="D1:F1"/>
    <mergeCell ref="C6:H6"/>
    <mergeCell ref="N7:Q19"/>
    <mergeCell ref="B24:C24"/>
    <mergeCell ref="E25:E26"/>
    <mergeCell ref="F25:K25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/>
  <dimension ref="A1:T116"/>
  <sheetViews>
    <sheetView showGridLines="0" zoomScale="89" zoomScaleNormal="66" zoomScalePageLayoutView="66" workbookViewId="0">
      <selection activeCell="D41" sqref="D41"/>
    </sheetView>
  </sheetViews>
  <sheetFormatPr baseColWidth="10" defaultColWidth="8.5" defaultRowHeight="14" customHeight="1" x14ac:dyDescent="0.2"/>
  <cols>
    <col min="1" max="1" width="1.5" style="1" customWidth="1"/>
    <col min="2" max="2" width="40.5" style="1" customWidth="1"/>
    <col min="3" max="3" width="14.5" style="1" bestFit="1" customWidth="1"/>
    <col min="4" max="7" width="10.5" style="1" customWidth="1"/>
    <col min="8" max="9" width="9.83203125" style="1" customWidth="1"/>
    <col min="10" max="12" width="8.5" style="1"/>
    <col min="13" max="13" width="28.83203125" style="1" customWidth="1"/>
    <col min="14" max="15" width="9.1640625" style="1" customWidth="1"/>
    <col min="16" max="16384" width="8.5" style="1"/>
  </cols>
  <sheetData>
    <row r="1" spans="1:17" ht="21" x14ac:dyDescent="0.3">
      <c r="B1" s="8" t="s">
        <v>188</v>
      </c>
      <c r="D1" s="476" t="s">
        <v>126</v>
      </c>
      <c r="E1" s="477"/>
      <c r="F1" s="478"/>
    </row>
    <row r="2" spans="1:17" ht="14" customHeight="1" x14ac:dyDescent="0.2">
      <c r="B2" s="1" t="s">
        <v>163</v>
      </c>
      <c r="D2" s="136" t="s">
        <v>123</v>
      </c>
      <c r="E2" s="137" t="s">
        <v>124</v>
      </c>
      <c r="F2" s="138" t="s">
        <v>125</v>
      </c>
      <c r="H2" s="139" t="s">
        <v>130</v>
      </c>
    </row>
    <row r="4" spans="1:17" ht="14" customHeight="1" x14ac:dyDescent="0.2">
      <c r="B4" s="9" t="s">
        <v>162</v>
      </c>
    </row>
    <row r="5" spans="1:17" ht="14" customHeight="1" x14ac:dyDescent="0.2">
      <c r="B5" s="10" t="s">
        <v>172</v>
      </c>
    </row>
    <row r="6" spans="1:17" ht="14" customHeight="1" x14ac:dyDescent="0.2">
      <c r="B6" s="40"/>
      <c r="C6" s="487" t="s">
        <v>281</v>
      </c>
      <c r="D6" s="488"/>
      <c r="E6" s="488"/>
      <c r="F6" s="488"/>
      <c r="G6" s="488"/>
      <c r="H6" s="488"/>
    </row>
    <row r="7" spans="1:17" ht="14" customHeight="1" x14ac:dyDescent="0.2">
      <c r="B7" s="40"/>
      <c r="C7" s="12">
        <v>2018</v>
      </c>
      <c r="D7" s="12">
        <v>2019</v>
      </c>
      <c r="E7" s="12">
        <v>2020</v>
      </c>
      <c r="F7" s="56">
        <v>2021</v>
      </c>
      <c r="G7" s="56">
        <v>2022</v>
      </c>
      <c r="H7" s="56">
        <v>2023</v>
      </c>
      <c r="N7" s="489" t="s">
        <v>286</v>
      </c>
      <c r="O7" s="489"/>
      <c r="P7" s="489"/>
      <c r="Q7" s="489"/>
    </row>
    <row r="8" spans="1:17" ht="14" hidden="1" customHeight="1" x14ac:dyDescent="0.2">
      <c r="B8" s="40" t="s">
        <v>76</v>
      </c>
      <c r="C8" s="83">
        <v>3</v>
      </c>
      <c r="D8" s="83">
        <v>4</v>
      </c>
      <c r="E8" s="83">
        <v>5</v>
      </c>
      <c r="F8" s="83">
        <v>6</v>
      </c>
      <c r="G8" s="83">
        <v>6</v>
      </c>
      <c r="H8" s="83">
        <v>6</v>
      </c>
      <c r="N8" s="489"/>
      <c r="O8" s="489"/>
      <c r="P8" s="489"/>
      <c r="Q8" s="489"/>
    </row>
    <row r="9" spans="1:17" ht="14" hidden="1" customHeight="1" x14ac:dyDescent="0.2">
      <c r="B9" s="40"/>
      <c r="C9" s="40"/>
      <c r="D9" s="40"/>
      <c r="E9" s="40"/>
      <c r="F9" s="40"/>
      <c r="G9" s="40"/>
      <c r="H9" s="40"/>
      <c r="N9" s="489"/>
      <c r="O9" s="489"/>
      <c r="P9" s="489"/>
      <c r="Q9" s="489"/>
    </row>
    <row r="10" spans="1:17" s="9" customFormat="1" ht="14" customHeight="1" x14ac:dyDescent="0.2">
      <c r="B10" s="45" t="s">
        <v>4</v>
      </c>
      <c r="C10" s="389">
        <f t="shared" ref="C10:H10" si="0">C12-C11</f>
        <v>989741.2598819983</v>
      </c>
      <c r="D10" s="389">
        <f t="shared" si="0"/>
        <v>1077594.0842693986</v>
      </c>
      <c r="E10" s="389">
        <f t="shared" si="0"/>
        <v>1219437.5085691113</v>
      </c>
      <c r="F10" s="389">
        <f t="shared" si="0"/>
        <v>1434994.14332232</v>
      </c>
      <c r="G10" s="389">
        <f t="shared" si="0"/>
        <v>1757837.7117304928</v>
      </c>
      <c r="H10" s="389">
        <f t="shared" si="0"/>
        <v>2241056.0698791887</v>
      </c>
      <c r="N10" s="489"/>
      <c r="O10" s="489"/>
      <c r="P10" s="489"/>
      <c r="Q10" s="489"/>
    </row>
    <row r="11" spans="1:17" ht="14" customHeight="1" x14ac:dyDescent="0.2">
      <c r="B11" s="312" t="s">
        <v>31</v>
      </c>
      <c r="C11" s="314">
        <f>'Fixed Asset'!G11</f>
        <v>-236070.06957874852</v>
      </c>
      <c r="D11" s="314">
        <f>'Fixed Asset'!H11</f>
        <v>-221366.16193745364</v>
      </c>
      <c r="E11" s="314">
        <f>'Fixed Asset'!I11</f>
        <v>-219853.4812705848</v>
      </c>
      <c r="F11" s="314">
        <f>'Fixed Asset'!J11</f>
        <v>-229351.09664395612</v>
      </c>
      <c r="G11" s="314">
        <f>'Fixed Asset'!K11</f>
        <v>-250024.8948124726</v>
      </c>
      <c r="H11" s="314">
        <f>'Fixed Asset'!L11</f>
        <v>-284073.4120385985</v>
      </c>
      <c r="N11" s="489"/>
      <c r="O11" s="489"/>
      <c r="P11" s="489"/>
      <c r="Q11" s="489"/>
    </row>
    <row r="12" spans="1:17" s="9" customFormat="1" ht="14" customHeight="1" x14ac:dyDescent="0.2">
      <c r="A12" s="9" t="s">
        <v>12</v>
      </c>
      <c r="B12" s="45" t="s">
        <v>5</v>
      </c>
      <c r="C12" s="193">
        <f>'Income Statement'!S20</f>
        <v>753671.19030324975</v>
      </c>
      <c r="D12" s="193">
        <f>'Income Statement'!T20</f>
        <v>856227.92233194504</v>
      </c>
      <c r="E12" s="193">
        <f>'Income Statement'!U20</f>
        <v>999584.02729852661</v>
      </c>
      <c r="F12" s="193">
        <f>'Income Statement'!V20</f>
        <v>1205643.0466783638</v>
      </c>
      <c r="G12" s="193">
        <f>'Income Statement'!W20</f>
        <v>1507812.8169180201</v>
      </c>
      <c r="H12" s="193">
        <f>'Income Statement'!X20</f>
        <v>1956982.65784059</v>
      </c>
      <c r="N12" s="489"/>
      <c r="O12" s="489"/>
      <c r="P12" s="489"/>
      <c r="Q12" s="489"/>
    </row>
    <row r="13" spans="1:17" s="9" customFormat="1" ht="14" customHeight="1" x14ac:dyDescent="0.2">
      <c r="B13" s="312" t="s">
        <v>14</v>
      </c>
      <c r="C13" s="314">
        <f>'Income Statement'!S23</f>
        <v>-200360.04452369694</v>
      </c>
      <c r="D13" s="314">
        <f>'Income Statement'!T23</f>
        <v>-228665.70256361685</v>
      </c>
      <c r="E13" s="314">
        <f>'Income Statement'!U23</f>
        <v>-268231.98753439338</v>
      </c>
      <c r="F13" s="314">
        <f>'Income Statement'!V23</f>
        <v>-325104.27688322845</v>
      </c>
      <c r="G13" s="314">
        <f>'Income Statement'!W23</f>
        <v>-408503.13346937357</v>
      </c>
      <c r="H13" s="314">
        <f>'Income Statement'!X23</f>
        <v>-532474.00956400286</v>
      </c>
      <c r="N13" s="489"/>
      <c r="O13" s="489"/>
      <c r="P13" s="489"/>
      <c r="Q13" s="489"/>
    </row>
    <row r="14" spans="1:17" s="9" customFormat="1" ht="14" customHeight="1" x14ac:dyDescent="0.2">
      <c r="B14" s="45" t="s">
        <v>15</v>
      </c>
      <c r="C14" s="213">
        <f t="shared" ref="C14:H14" si="1">C12+C13</f>
        <v>553311.14577955287</v>
      </c>
      <c r="D14" s="213">
        <f t="shared" si="1"/>
        <v>627562.21976832813</v>
      </c>
      <c r="E14" s="213">
        <f t="shared" si="1"/>
        <v>731352.03976413328</v>
      </c>
      <c r="F14" s="213">
        <f t="shared" si="1"/>
        <v>880538.76979513536</v>
      </c>
      <c r="G14" s="213">
        <f t="shared" si="1"/>
        <v>1099309.6834486467</v>
      </c>
      <c r="H14" s="213">
        <f t="shared" si="1"/>
        <v>1424508.648276587</v>
      </c>
      <c r="N14" s="489"/>
      <c r="O14" s="489"/>
      <c r="P14" s="489"/>
      <c r="Q14" s="489"/>
    </row>
    <row r="15" spans="1:17" ht="14" customHeight="1" x14ac:dyDescent="0.2">
      <c r="B15" s="313" t="s">
        <v>32</v>
      </c>
      <c r="C15" s="61">
        <f t="shared" ref="C15:H15" si="2">-C11</f>
        <v>236070.06957874852</v>
      </c>
      <c r="D15" s="61">
        <f t="shared" si="2"/>
        <v>221366.16193745364</v>
      </c>
      <c r="E15" s="61">
        <f t="shared" si="2"/>
        <v>219853.4812705848</v>
      </c>
      <c r="F15" s="61">
        <f t="shared" si="2"/>
        <v>229351.09664395612</v>
      </c>
      <c r="G15" s="61">
        <f t="shared" si="2"/>
        <v>250024.8948124726</v>
      </c>
      <c r="H15" s="61">
        <f t="shared" si="2"/>
        <v>284073.4120385985</v>
      </c>
      <c r="N15" s="489"/>
      <c r="O15" s="489"/>
      <c r="P15" s="489"/>
      <c r="Q15" s="489"/>
    </row>
    <row r="16" spans="1:17" s="9" customFormat="1" ht="14" customHeight="1" x14ac:dyDescent="0.2">
      <c r="B16" s="313" t="s">
        <v>33</v>
      </c>
      <c r="C16" s="319">
        <f>-'Fixed Asset'!G10</f>
        <v>-198904.4423047062</v>
      </c>
      <c r="D16" s="319">
        <f>-'Fixed Asset'!H10</f>
        <v>-217542.70716468239</v>
      </c>
      <c r="E16" s="319">
        <f>-'Fixed Asset'!I10</f>
        <v>-243859.67347269037</v>
      </c>
      <c r="F16" s="319">
        <f>-'Fixed Asset'!J10</f>
        <v>-281606.23152470012</v>
      </c>
      <c r="G16" s="319">
        <f>-'Fixed Asset'!K10</f>
        <v>-336085.99716230819</v>
      </c>
      <c r="H16" s="319">
        <f>-'Fixed Asset'!L10</f>
        <v>-414719.01221542881</v>
      </c>
      <c r="N16" s="489"/>
      <c r="O16" s="489"/>
      <c r="P16" s="489"/>
      <c r="Q16" s="489"/>
    </row>
    <row r="17" spans="1:20" ht="14" customHeight="1" x14ac:dyDescent="0.2">
      <c r="B17" s="312" t="s">
        <v>34</v>
      </c>
      <c r="C17" s="314">
        <f>-'Working Cap'!G19</f>
        <v>-136159.10023715114</v>
      </c>
      <c r="D17" s="314">
        <f>-'Working Cap'!H19</f>
        <v>-169433.19243868208</v>
      </c>
      <c r="E17" s="314">
        <f>-'Working Cap'!I19</f>
        <v>-232135.62410968868</v>
      </c>
      <c r="F17" s="314">
        <f>-'Working Cap'!J19</f>
        <v>-343995.40144845843</v>
      </c>
      <c r="G17" s="314">
        <f>-'Working Cap'!K19</f>
        <v>-500091.453416351</v>
      </c>
      <c r="H17" s="314">
        <f>-'Working Cap'!L19</f>
        <v>-748121.83112132689</v>
      </c>
      <c r="N17" s="489"/>
      <c r="O17" s="489"/>
      <c r="P17" s="489"/>
      <c r="Q17" s="489"/>
    </row>
    <row r="18" spans="1:20" s="9" customFormat="1" ht="14" customHeight="1" x14ac:dyDescent="0.2">
      <c r="A18" s="9" t="s">
        <v>12</v>
      </c>
      <c r="B18" s="45" t="s">
        <v>35</v>
      </c>
      <c r="C18" s="389">
        <f t="shared" ref="C18:H18" si="3">SUM(C14:C17)</f>
        <v>454317.67281644407</v>
      </c>
      <c r="D18" s="389">
        <f t="shared" si="3"/>
        <v>461952.48210241739</v>
      </c>
      <c r="E18" s="389">
        <f t="shared" si="3"/>
        <v>475210.22345233895</v>
      </c>
      <c r="F18" s="389">
        <f t="shared" si="3"/>
        <v>484288.23346593301</v>
      </c>
      <c r="G18" s="389">
        <f t="shared" si="3"/>
        <v>513157.12768246012</v>
      </c>
      <c r="H18" s="389">
        <f t="shared" si="3"/>
        <v>545741.21697842982</v>
      </c>
      <c r="N18" s="489"/>
      <c r="O18" s="489"/>
      <c r="P18" s="489"/>
      <c r="Q18" s="489"/>
    </row>
    <row r="19" spans="1:20" ht="14" customHeight="1" thickBot="1" x14ac:dyDescent="0.25">
      <c r="B19" s="46"/>
      <c r="C19" s="51"/>
      <c r="D19" s="40"/>
      <c r="E19" s="40"/>
      <c r="F19" s="40"/>
      <c r="G19" s="40"/>
      <c r="H19" s="40"/>
      <c r="N19" s="489"/>
      <c r="O19" s="489"/>
      <c r="P19" s="489"/>
      <c r="Q19" s="489"/>
    </row>
    <row r="20" spans="1:20" ht="14" customHeight="1" thickBot="1" x14ac:dyDescent="0.25">
      <c r="B20" s="111" t="s">
        <v>55</v>
      </c>
      <c r="C20" s="390">
        <f t="shared" ref="C20:H20" si="4">C18/(1+$C$78)^C8</f>
        <v>346214.41820019443</v>
      </c>
      <c r="D20" s="390">
        <f t="shared" si="4"/>
        <v>321547.1494302986</v>
      </c>
      <c r="E20" s="390">
        <f t="shared" si="4"/>
        <v>302130.78140057169</v>
      </c>
      <c r="F20" s="390">
        <f t="shared" si="4"/>
        <v>281238.61832730949</v>
      </c>
      <c r="G20" s="390">
        <f t="shared" si="4"/>
        <v>298003.52682815678</v>
      </c>
      <c r="H20" s="391">
        <f t="shared" si="4"/>
        <v>316925.94455337874</v>
      </c>
    </row>
    <row r="21" spans="1:20" ht="14" customHeight="1" x14ac:dyDescent="0.2">
      <c r="B21" s="46" t="s">
        <v>148</v>
      </c>
      <c r="C21" s="47"/>
      <c r="D21" s="51"/>
      <c r="E21" s="51"/>
      <c r="F21" s="40"/>
      <c r="G21" s="40"/>
      <c r="I21" s="392">
        <f>SUM(D20:H20)</f>
        <v>1519846.0205397152</v>
      </c>
    </row>
    <row r="22" spans="1:20" ht="14" customHeight="1" x14ac:dyDescent="0.2">
      <c r="B22" s="46"/>
      <c r="C22" s="52"/>
      <c r="D22" s="52"/>
      <c r="E22" s="52"/>
      <c r="F22" s="52"/>
      <c r="G22" s="52"/>
      <c r="H22" s="40"/>
    </row>
    <row r="23" spans="1:20" s="9" customFormat="1" ht="14" customHeight="1" thickBot="1" x14ac:dyDescent="0.25">
      <c r="B23" s="49"/>
      <c r="C23" s="42"/>
      <c r="D23" s="50"/>
      <c r="E23" s="50"/>
      <c r="F23" s="45"/>
      <c r="G23" s="45"/>
      <c r="H23" s="45"/>
    </row>
    <row r="24" spans="1:20" s="9" customFormat="1" ht="14" customHeight="1" thickBot="1" x14ac:dyDescent="0.25">
      <c r="A24" s="9" t="s">
        <v>12</v>
      </c>
      <c r="B24" s="490" t="s">
        <v>54</v>
      </c>
      <c r="C24" s="491"/>
      <c r="D24" s="48"/>
      <c r="E24" s="48"/>
      <c r="F24" s="45"/>
      <c r="G24" s="45"/>
      <c r="H24" s="45"/>
    </row>
    <row r="25" spans="1:20" ht="14" customHeight="1" x14ac:dyDescent="0.2">
      <c r="B25" s="63"/>
      <c r="C25" s="73"/>
      <c r="D25" s="42"/>
      <c r="E25" s="492"/>
      <c r="F25" s="494" t="s">
        <v>56</v>
      </c>
      <c r="G25" s="494"/>
      <c r="H25" s="494"/>
      <c r="I25" s="494"/>
      <c r="J25" s="494"/>
      <c r="K25" s="495"/>
    </row>
    <row r="26" spans="1:20" s="9" customFormat="1" ht="14" customHeight="1" x14ac:dyDescent="0.2">
      <c r="B26" s="79" t="s">
        <v>55</v>
      </c>
      <c r="C26" s="349">
        <f>I21</f>
        <v>1519846.0205397152</v>
      </c>
      <c r="D26" s="50"/>
      <c r="E26" s="493"/>
      <c r="F26" s="220">
        <f>C42</f>
        <v>46.5659385988628</v>
      </c>
      <c r="G26" s="96">
        <f>H26-T28</f>
        <v>3.0000000000000002E-2</v>
      </c>
      <c r="H26" s="96">
        <f>I26-T28</f>
        <v>3.2500000000000001E-2</v>
      </c>
      <c r="I26" s="96">
        <v>3.5000000000000003E-2</v>
      </c>
      <c r="J26" s="96">
        <f>I26+T28</f>
        <v>3.7500000000000006E-2</v>
      </c>
      <c r="K26" s="100">
        <f>J26+T28</f>
        <v>4.0000000000000008E-2</v>
      </c>
    </row>
    <row r="27" spans="1:20" ht="14" customHeight="1" thickBot="1" x14ac:dyDescent="0.25">
      <c r="B27" s="63"/>
      <c r="C27" s="73"/>
      <c r="D27" s="43"/>
      <c r="E27" s="499" t="s">
        <v>71</v>
      </c>
      <c r="F27" s="97">
        <f>F28-T27</f>
        <v>8.4808499239999988E-2</v>
      </c>
      <c r="G27" s="221">
        <f t="dataTable" ref="G27:K31" dt2D="1" dtr="1" r1="C29" r2="C78" ca="1"/>
        <v>36.875379049970107</v>
      </c>
      <c r="H27" s="221">
        <v>38.802506352688809</v>
      </c>
      <c r="I27" s="221">
        <v>40.923087316140489</v>
      </c>
      <c r="J27" s="221">
        <v>43.267790900000591</v>
      </c>
      <c r="K27" s="222">
        <v>45.874130515375775</v>
      </c>
      <c r="M27" s="143"/>
      <c r="N27" s="501"/>
      <c r="O27" s="501"/>
      <c r="S27" s="103" t="s">
        <v>97</v>
      </c>
      <c r="T27" s="104">
        <v>5.0000000000000001E-3</v>
      </c>
    </row>
    <row r="28" spans="1:20" s="9" customFormat="1" ht="14" customHeight="1" thickBot="1" x14ac:dyDescent="0.25">
      <c r="B28" s="63" t="s">
        <v>282</v>
      </c>
      <c r="C28" s="350">
        <f>H18</f>
        <v>545741.21697842982</v>
      </c>
      <c r="D28" s="50"/>
      <c r="E28" s="499"/>
      <c r="F28" s="97">
        <f>F29-T27</f>
        <v>8.9808499239999992E-2</v>
      </c>
      <c r="G28" s="223">
        <v>32.658356294933263</v>
      </c>
      <c r="H28" s="224">
        <v>34.240916309921182</v>
      </c>
      <c r="I28" s="225">
        <v>35.96784809543125</v>
      </c>
      <c r="J28" s="226">
        <v>37.859851696286903</v>
      </c>
      <c r="K28" s="227">
        <v>39.941783083536912</v>
      </c>
      <c r="M28" s="143"/>
      <c r="N28" s="237"/>
      <c r="O28" s="237"/>
      <c r="S28" s="105" t="s">
        <v>96</v>
      </c>
      <c r="T28" s="106">
        <f>0.0025</f>
        <v>2.5000000000000001E-3</v>
      </c>
    </row>
    <row r="29" spans="1:20" s="9" customFormat="1" ht="14" customHeight="1" thickBot="1" x14ac:dyDescent="0.25">
      <c r="B29" s="80" t="s">
        <v>56</v>
      </c>
      <c r="C29" s="112">
        <v>5.2499999999999998E-2</v>
      </c>
      <c r="D29" s="51"/>
      <c r="E29" s="499"/>
      <c r="F29" s="97">
        <v>9.4808499239999997E-2</v>
      </c>
      <c r="G29" s="223">
        <v>29.084660789309325</v>
      </c>
      <c r="H29" s="228">
        <v>30.403558136225023</v>
      </c>
      <c r="I29" s="229">
        <v>31.83271551003282</v>
      </c>
      <c r="J29" s="230">
        <v>33.386562711070496</v>
      </c>
      <c r="K29" s="227">
        <v>35.082162306589311</v>
      </c>
      <c r="M29" s="210"/>
      <c r="N29" s="206"/>
      <c r="O29" s="206"/>
    </row>
    <row r="30" spans="1:20" ht="14" customHeight="1" thickBot="1" x14ac:dyDescent="0.25">
      <c r="B30" s="74" t="s">
        <v>57</v>
      </c>
      <c r="C30" s="350">
        <f>C28*((1+C29)/(C78-C29))</f>
        <v>13576294.152712326</v>
      </c>
      <c r="D30" s="51"/>
      <c r="E30" s="499"/>
      <c r="F30" s="98">
        <f>F29+T27</f>
        <v>9.9808499240000001E-2</v>
      </c>
      <c r="G30" s="223">
        <v>26.016636610819738</v>
      </c>
      <c r="H30" s="231">
        <v>27.129639768141029</v>
      </c>
      <c r="I30" s="232">
        <v>28.328511536090048</v>
      </c>
      <c r="J30" s="233">
        <v>29.623587817273389</v>
      </c>
      <c r="K30" s="227">
        <v>31.026932680484382</v>
      </c>
      <c r="M30" s="143"/>
      <c r="N30" s="143"/>
      <c r="O30" s="143"/>
    </row>
    <row r="31" spans="1:20" ht="14" customHeight="1" thickBot="1" x14ac:dyDescent="0.25">
      <c r="B31" s="63" t="s">
        <v>58</v>
      </c>
      <c r="C31" s="113">
        <v>5</v>
      </c>
      <c r="D31" s="51"/>
      <c r="E31" s="500"/>
      <c r="F31" s="99">
        <f>F30+T27</f>
        <v>0.10480849924000001</v>
      </c>
      <c r="G31" s="234">
        <v>23.35339941056133</v>
      </c>
      <c r="H31" s="235">
        <v>24.30281110065825</v>
      </c>
      <c r="I31" s="235">
        <v>25.320223943940878</v>
      </c>
      <c r="J31" s="235">
        <v>26.413215120923603</v>
      </c>
      <c r="K31" s="236">
        <v>27.590530976752468</v>
      </c>
      <c r="M31" s="143"/>
      <c r="N31" s="143"/>
      <c r="O31" s="208"/>
    </row>
    <row r="32" spans="1:20" ht="14" customHeight="1" x14ac:dyDescent="0.2">
      <c r="B32" s="79" t="s">
        <v>59</v>
      </c>
      <c r="C32" s="349">
        <f>C30/(1+C78)^C31</f>
        <v>8631582.7363389581</v>
      </c>
      <c r="D32" s="48"/>
      <c r="E32" s="48"/>
      <c r="F32" s="51"/>
      <c r="G32" s="94"/>
      <c r="H32" s="94"/>
      <c r="I32" s="95"/>
      <c r="J32" s="95"/>
      <c r="K32" s="95"/>
      <c r="M32" s="143"/>
      <c r="N32" s="143"/>
      <c r="O32" s="143"/>
    </row>
    <row r="33" spans="1:17" ht="14" customHeight="1" x14ac:dyDescent="0.2">
      <c r="B33" s="63"/>
      <c r="C33" s="350"/>
      <c r="D33" s="53"/>
      <c r="E33" s="53"/>
      <c r="F33" s="53"/>
      <c r="G33" s="53"/>
      <c r="H33" s="40"/>
      <c r="M33" s="205"/>
      <c r="N33" s="205"/>
      <c r="O33" s="143"/>
    </row>
    <row r="34" spans="1:17" ht="14" customHeight="1" x14ac:dyDescent="0.2">
      <c r="B34" s="79" t="s">
        <v>72</v>
      </c>
      <c r="C34" s="349">
        <f>(C30/(1+C78)^C31)+I21</f>
        <v>10151428.756878674</v>
      </c>
      <c r="D34" s="23"/>
      <c r="E34" s="23"/>
      <c r="F34" s="26"/>
      <c r="M34" s="238"/>
      <c r="N34" s="238"/>
      <c r="O34" s="143"/>
    </row>
    <row r="35" spans="1:17" ht="14" customHeight="1" x14ac:dyDescent="0.2">
      <c r="B35" s="215" t="s">
        <v>149</v>
      </c>
      <c r="C35" s="351">
        <f>C55</f>
        <v>1848100.0000000005</v>
      </c>
      <c r="D35" s="23"/>
      <c r="E35" s="23"/>
      <c r="F35" s="26"/>
      <c r="M35" s="238"/>
      <c r="N35" s="238"/>
      <c r="O35" s="143"/>
    </row>
    <row r="36" spans="1:17" ht="14" customHeight="1" x14ac:dyDescent="0.2">
      <c r="B36" s="79" t="s">
        <v>46</v>
      </c>
      <c r="C36" s="349">
        <f>C34-C35</f>
        <v>8303328.756878674</v>
      </c>
      <c r="D36" s="23"/>
      <c r="E36" s="23"/>
      <c r="F36" s="26"/>
      <c r="M36" s="238"/>
      <c r="N36" s="238"/>
      <c r="O36" s="143"/>
    </row>
    <row r="37" spans="1:17" ht="14" customHeight="1" x14ac:dyDescent="0.2">
      <c r="B37" s="217"/>
      <c r="C37" s="216"/>
      <c r="D37" s="23"/>
      <c r="E37" s="23"/>
      <c r="F37" s="26"/>
      <c r="M37" s="238"/>
      <c r="N37" s="238"/>
      <c r="O37" s="143"/>
    </row>
    <row r="38" spans="1:17" ht="14" customHeight="1" x14ac:dyDescent="0.2">
      <c r="B38" s="79" t="s">
        <v>141</v>
      </c>
      <c r="C38" s="219">
        <f>'Income Statement'!R32</f>
        <v>188923</v>
      </c>
      <c r="D38" s="23"/>
      <c r="E38" s="23"/>
      <c r="F38" s="26"/>
      <c r="M38" s="238"/>
      <c r="N38" s="238"/>
      <c r="O38" s="143"/>
    </row>
    <row r="39" spans="1:17" ht="14" customHeight="1" x14ac:dyDescent="0.2">
      <c r="B39" s="217"/>
      <c r="C39" s="216"/>
      <c r="D39" s="23"/>
      <c r="E39" s="23"/>
      <c r="F39" s="26"/>
      <c r="M39" s="238"/>
      <c r="N39" s="238"/>
      <c r="O39" s="143"/>
    </row>
    <row r="40" spans="1:17" ht="14" customHeight="1" x14ac:dyDescent="0.2">
      <c r="B40" s="217" t="s">
        <v>150</v>
      </c>
      <c r="C40" s="353">
        <f>C36/C38</f>
        <v>43.950862292461345</v>
      </c>
      <c r="D40" s="23"/>
      <c r="E40" s="23"/>
      <c r="F40" s="26"/>
      <c r="M40" s="238"/>
      <c r="N40" s="238"/>
      <c r="O40" s="143"/>
    </row>
    <row r="41" spans="1:17" ht="14" customHeight="1" x14ac:dyDescent="0.2">
      <c r="B41" s="79" t="s">
        <v>284</v>
      </c>
      <c r="C41" s="354">
        <f>' DCF - WACC From Model'!C41</f>
        <v>1.0595000000000001</v>
      </c>
      <c r="D41" s="23"/>
      <c r="E41" s="23"/>
      <c r="F41" s="26"/>
      <c r="M41" s="238"/>
      <c r="N41" s="238"/>
      <c r="O41" s="143"/>
    </row>
    <row r="42" spans="1:17" ht="14" customHeight="1" thickBot="1" x14ac:dyDescent="0.25">
      <c r="A42" s="1" t="s">
        <v>12</v>
      </c>
      <c r="B42" s="81" t="s">
        <v>150</v>
      </c>
      <c r="C42" s="352">
        <f>C40*C41</f>
        <v>46.5659385988628</v>
      </c>
      <c r="D42" s="23"/>
      <c r="E42" s="23"/>
      <c r="F42" s="26"/>
      <c r="M42" s="238"/>
      <c r="N42" s="238"/>
      <c r="O42" s="143"/>
    </row>
    <row r="43" spans="1:17" ht="14" customHeight="1" thickBot="1" x14ac:dyDescent="0.25">
      <c r="B43" s="26"/>
      <c r="C43" s="32"/>
      <c r="D43" s="23"/>
      <c r="E43" s="23"/>
      <c r="M43" s="143"/>
      <c r="N43" s="143"/>
      <c r="O43" s="143"/>
    </row>
    <row r="44" spans="1:17" ht="14" customHeight="1" thickBot="1" x14ac:dyDescent="0.25">
      <c r="A44" s="1" t="s">
        <v>12</v>
      </c>
      <c r="B44" s="490" t="s">
        <v>61</v>
      </c>
      <c r="C44" s="491"/>
      <c r="D44" s="23"/>
      <c r="E44" s="42"/>
      <c r="F44" s="502"/>
      <c r="G44" s="502"/>
      <c r="H44" s="502"/>
      <c r="I44" s="502"/>
      <c r="J44" s="502"/>
      <c r="K44" s="502"/>
      <c r="M44" s="143"/>
      <c r="N44" s="143"/>
      <c r="O44" s="143"/>
    </row>
    <row r="45" spans="1:17" ht="14" customHeight="1" x14ac:dyDescent="0.2">
      <c r="B45" s="63"/>
      <c r="C45" s="73"/>
      <c r="D45" s="23"/>
      <c r="E45" s="492"/>
      <c r="F45" s="494" t="s">
        <v>61</v>
      </c>
      <c r="G45" s="494"/>
      <c r="H45" s="494"/>
      <c r="I45" s="494"/>
      <c r="J45" s="494"/>
      <c r="K45" s="495"/>
      <c r="L45" s="9"/>
      <c r="M45" s="143"/>
      <c r="N45" s="143"/>
      <c r="O45" s="143"/>
    </row>
    <row r="46" spans="1:17" ht="14" customHeight="1" x14ac:dyDescent="0.2">
      <c r="B46" s="79" t="s">
        <v>55</v>
      </c>
      <c r="C46" s="349">
        <f>I21</f>
        <v>1519846.0205397152</v>
      </c>
      <c r="D46" s="23"/>
      <c r="E46" s="493"/>
      <c r="F46" s="220">
        <f>C62</f>
        <v>94.046020922529294</v>
      </c>
      <c r="G46" s="101">
        <f>H46-Q46</f>
        <v>6</v>
      </c>
      <c r="H46" s="101">
        <f>I46-Q46</f>
        <v>6.5</v>
      </c>
      <c r="I46" s="101">
        <v>7</v>
      </c>
      <c r="J46" s="101">
        <f>I46+Q46</f>
        <v>7.5</v>
      </c>
      <c r="K46" s="102">
        <f>J46+Q46</f>
        <v>8</v>
      </c>
      <c r="M46" s="143"/>
      <c r="N46" s="501"/>
      <c r="O46" s="501"/>
      <c r="P46" s="107" t="s">
        <v>96</v>
      </c>
      <c r="Q46" s="90">
        <f>0.5</f>
        <v>0.5</v>
      </c>
    </row>
    <row r="47" spans="1:17" ht="14" customHeight="1" thickBot="1" x14ac:dyDescent="0.25">
      <c r="B47" s="63"/>
      <c r="C47" s="75"/>
      <c r="D47" s="26"/>
      <c r="E47" s="496" t="s">
        <v>71</v>
      </c>
      <c r="F47" s="97">
        <f>F48-T27</f>
        <v>8.4808499239999988E-2</v>
      </c>
      <c r="G47" s="221">
        <f t="dataTable" ref="G47:K51" dt2D="1" dtr="1" r1="C49" r2="C78"/>
        <v>48.784877147561986</v>
      </c>
      <c r="H47" s="221">
        <v>52.967738397616067</v>
      </c>
      <c r="I47" s="221">
        <v>57.150599647670155</v>
      </c>
      <c r="J47" s="221">
        <v>61.333460897724237</v>
      </c>
      <c r="K47" s="222">
        <v>65.516322147778311</v>
      </c>
      <c r="L47" s="9"/>
      <c r="M47" s="143"/>
      <c r="N47" s="204"/>
      <c r="O47" s="204"/>
    </row>
    <row r="48" spans="1:17" ht="14" customHeight="1" thickBot="1" x14ac:dyDescent="0.25">
      <c r="B48" s="63" t="s">
        <v>283</v>
      </c>
      <c r="C48" s="350">
        <f>H10</f>
        <v>2241056.0698791887</v>
      </c>
      <c r="D48" s="26"/>
      <c r="E48" s="497"/>
      <c r="F48" s="97">
        <f>F49-T27</f>
        <v>8.9808499239999992E-2</v>
      </c>
      <c r="G48" s="223">
        <v>47.425015641341382</v>
      </c>
      <c r="H48" s="224">
        <v>51.512799285428713</v>
      </c>
      <c r="I48" s="225">
        <v>55.600582929516058</v>
      </c>
      <c r="J48" s="226">
        <v>59.688366573603389</v>
      </c>
      <c r="K48" s="227">
        <v>63.77615021769072</v>
      </c>
      <c r="L48" s="9"/>
      <c r="M48" s="210"/>
      <c r="N48" s="206"/>
      <c r="O48" s="206"/>
    </row>
    <row r="49" spans="1:15" ht="14" customHeight="1" thickBot="1" x14ac:dyDescent="0.25">
      <c r="B49" s="80" t="s">
        <v>62</v>
      </c>
      <c r="C49" s="114">
        <v>12</v>
      </c>
      <c r="D49" s="32"/>
      <c r="E49" s="497"/>
      <c r="F49" s="97">
        <v>9.4808499239999997E-2</v>
      </c>
      <c r="G49" s="223">
        <v>46.102569088227185</v>
      </c>
      <c r="H49" s="228">
        <v>50.097856741167419</v>
      </c>
      <c r="I49" s="229">
        <v>54.093144394107661</v>
      </c>
      <c r="J49" s="230">
        <v>58.08843204704791</v>
      </c>
      <c r="K49" s="227">
        <v>62.083719699988144</v>
      </c>
      <c r="M49" s="143"/>
      <c r="N49" s="143"/>
      <c r="O49" s="143"/>
    </row>
    <row r="50" spans="1:15" ht="14" customHeight="1" thickBot="1" x14ac:dyDescent="0.25">
      <c r="B50" s="74" t="s">
        <v>57</v>
      </c>
      <c r="C50" s="350">
        <f>C48*C49</f>
        <v>26892672.838550262</v>
      </c>
      <c r="E50" s="497"/>
      <c r="F50" s="98">
        <f>F49+T27</f>
        <v>9.9808499240000001E-2</v>
      </c>
      <c r="G50" s="223">
        <v>44.816340831597842</v>
      </c>
      <c r="H50" s="231">
        <v>48.721632696372581</v>
      </c>
      <c r="I50" s="232">
        <v>52.626924561147334</v>
      </c>
      <c r="J50" s="233">
        <v>56.532216425922073</v>
      </c>
      <c r="K50" s="227">
        <v>60.437508290696826</v>
      </c>
      <c r="M50" s="143"/>
      <c r="N50" s="143"/>
      <c r="O50" s="143"/>
    </row>
    <row r="51" spans="1:15" ht="14" customHeight="1" thickBot="1" x14ac:dyDescent="0.25">
      <c r="B51" s="63" t="s">
        <v>58</v>
      </c>
      <c r="C51" s="113">
        <v>5</v>
      </c>
      <c r="E51" s="498"/>
      <c r="F51" s="99">
        <f>F50+T27</f>
        <v>0.10480849924000001</v>
      </c>
      <c r="G51" s="234">
        <v>43.565177778087978</v>
      </c>
      <c r="H51" s="235">
        <v>47.382895566767019</v>
      </c>
      <c r="I51" s="235">
        <v>51.200613355446087</v>
      </c>
      <c r="J51" s="235">
        <v>55.018331144125135</v>
      </c>
      <c r="K51" s="236">
        <v>58.836048932804196</v>
      </c>
      <c r="M51" s="208"/>
      <c r="N51" s="208"/>
      <c r="O51" s="208"/>
    </row>
    <row r="52" spans="1:15" ht="14" customHeight="1" x14ac:dyDescent="0.2">
      <c r="B52" s="79" t="s">
        <v>59</v>
      </c>
      <c r="C52" s="349">
        <f>C50/(1+C78)^C51</f>
        <v>17097915.528065287</v>
      </c>
      <c r="M52" s="208"/>
      <c r="N52" s="208"/>
      <c r="O52" s="143"/>
    </row>
    <row r="53" spans="1:15" ht="14" customHeight="1" x14ac:dyDescent="0.2">
      <c r="B53" s="74"/>
      <c r="C53" s="76"/>
      <c r="M53" s="143"/>
      <c r="N53" s="143"/>
      <c r="O53" s="143"/>
    </row>
    <row r="54" spans="1:15" ht="14" customHeight="1" x14ac:dyDescent="0.2">
      <c r="B54" s="79" t="s">
        <v>60</v>
      </c>
      <c r="C54" s="349">
        <f>SUM(C52+C46)</f>
        <v>18617761.548605002</v>
      </c>
      <c r="M54" s="143"/>
      <c r="N54" s="143"/>
      <c r="O54" s="143"/>
    </row>
    <row r="55" spans="1:15" ht="14" customHeight="1" x14ac:dyDescent="0.2">
      <c r="B55" s="215" t="s">
        <v>149</v>
      </c>
      <c r="C55" s="351">
        <f>C65*1000</f>
        <v>1848100.0000000005</v>
      </c>
    </row>
    <row r="56" spans="1:15" ht="14" customHeight="1" x14ac:dyDescent="0.2">
      <c r="B56" s="79" t="s">
        <v>46</v>
      </c>
      <c r="C56" s="349">
        <f>C54-C55</f>
        <v>16769661.548605002</v>
      </c>
    </row>
    <row r="57" spans="1:15" ht="14" customHeight="1" x14ac:dyDescent="0.2">
      <c r="B57" s="217"/>
      <c r="C57" s="216"/>
    </row>
    <row r="58" spans="1:15" ht="14" customHeight="1" x14ac:dyDescent="0.2">
      <c r="B58" s="79" t="s">
        <v>141</v>
      </c>
      <c r="C58" s="218">
        <f>C38</f>
        <v>188923</v>
      </c>
    </row>
    <row r="59" spans="1:15" ht="14" customHeight="1" x14ac:dyDescent="0.2">
      <c r="B59" s="217"/>
      <c r="C59" s="216"/>
    </row>
    <row r="60" spans="1:15" ht="14" customHeight="1" x14ac:dyDescent="0.2">
      <c r="B60" s="217" t="s">
        <v>150</v>
      </c>
      <c r="C60" s="353">
        <f>C56/C58</f>
        <v>88.764531309607634</v>
      </c>
    </row>
    <row r="61" spans="1:15" ht="14" customHeight="1" x14ac:dyDescent="0.2">
      <c r="B61" s="79" t="s">
        <v>284</v>
      </c>
      <c r="C61" s="354">
        <f>C41</f>
        <v>1.0595000000000001</v>
      </c>
      <c r="E61" s="86"/>
    </row>
    <row r="62" spans="1:15" ht="14" customHeight="1" thickBot="1" x14ac:dyDescent="0.25">
      <c r="A62" s="1" t="s">
        <v>12</v>
      </c>
      <c r="B62" s="81" t="s">
        <v>150</v>
      </c>
      <c r="C62" s="352">
        <f>C60*C61</f>
        <v>94.046020922529294</v>
      </c>
    </row>
    <row r="63" spans="1:15" ht="14" customHeight="1" thickBot="1" x14ac:dyDescent="0.25">
      <c r="B63" s="77"/>
      <c r="C63" s="78"/>
    </row>
    <row r="64" spans="1:15" ht="14" customHeight="1" thickBot="1" x14ac:dyDescent="0.25">
      <c r="A64" s="1" t="s">
        <v>12</v>
      </c>
      <c r="B64" s="490" t="s">
        <v>63</v>
      </c>
      <c r="C64" s="491"/>
    </row>
    <row r="65" spans="1:3" ht="14" customHeight="1" x14ac:dyDescent="0.2">
      <c r="B65" s="320" t="s">
        <v>64</v>
      </c>
      <c r="C65" s="321">
        <f>C67-C66</f>
        <v>1848.1000000000004</v>
      </c>
    </row>
    <row r="66" spans="1:3" ht="14" customHeight="1" x14ac:dyDescent="0.2">
      <c r="B66" s="331" t="s">
        <v>77</v>
      </c>
      <c r="C66" s="332">
        <v>10414.299999999999</v>
      </c>
    </row>
    <row r="67" spans="1:3" ht="14" customHeight="1" x14ac:dyDescent="0.2">
      <c r="B67" s="322" t="s">
        <v>65</v>
      </c>
      <c r="C67" s="323">
        <v>12262.4</v>
      </c>
    </row>
    <row r="68" spans="1:3" ht="14" customHeight="1" x14ac:dyDescent="0.2">
      <c r="B68" s="324"/>
      <c r="C68" s="323"/>
    </row>
    <row r="69" spans="1:3" ht="14" customHeight="1" x14ac:dyDescent="0.2">
      <c r="B69" s="320" t="s">
        <v>66</v>
      </c>
      <c r="C69" s="344">
        <v>1.0449999999999999</v>
      </c>
    </row>
    <row r="70" spans="1:3" ht="14" customHeight="1" x14ac:dyDescent="0.2">
      <c r="B70" s="320" t="s">
        <v>73</v>
      </c>
      <c r="C70" s="346">
        <v>8.1500000000000003E-2</v>
      </c>
    </row>
    <row r="71" spans="1:3" ht="14" customHeight="1" x14ac:dyDescent="0.2">
      <c r="B71" s="331" t="s">
        <v>68</v>
      </c>
      <c r="C71" s="345">
        <v>2.384E-2</v>
      </c>
    </row>
    <row r="72" spans="1:3" ht="14" customHeight="1" x14ac:dyDescent="0.2">
      <c r="B72" s="325" t="s">
        <v>69</v>
      </c>
      <c r="C72" s="326">
        <f>C71+(C70)*C69</f>
        <v>0.10900749999999999</v>
      </c>
    </row>
    <row r="73" spans="1:3" ht="14" customHeight="1" x14ac:dyDescent="0.2">
      <c r="B73" s="327"/>
      <c r="C73" s="328"/>
    </row>
    <row r="74" spans="1:3" ht="14" customHeight="1" x14ac:dyDescent="0.2">
      <c r="B74" s="329" t="s">
        <v>75</v>
      </c>
      <c r="C74" s="347">
        <v>2.1000000000000001E-2</v>
      </c>
    </row>
    <row r="75" spans="1:3" ht="14" customHeight="1" x14ac:dyDescent="0.2">
      <c r="B75" s="333" t="s">
        <v>16</v>
      </c>
      <c r="C75" s="348">
        <f>'Income Statement'!M47</f>
        <v>0.29546860596489311</v>
      </c>
    </row>
    <row r="76" spans="1:3" ht="14" customHeight="1" x14ac:dyDescent="0.2">
      <c r="B76" s="325" t="s">
        <v>70</v>
      </c>
      <c r="C76" s="326">
        <f>C74*(1-C75)</f>
        <v>1.4795159274737246E-2</v>
      </c>
    </row>
    <row r="77" spans="1:3" ht="14" customHeight="1" x14ac:dyDescent="0.2">
      <c r="B77" s="329"/>
      <c r="C77" s="330"/>
    </row>
    <row r="78" spans="1:3" ht="14" customHeight="1" thickBot="1" x14ac:dyDescent="0.25">
      <c r="A78" s="1" t="s">
        <v>12</v>
      </c>
      <c r="B78" s="84" t="s">
        <v>71</v>
      </c>
      <c r="C78" s="214">
        <f>((C65*C76)+(C66*C72))/C67</f>
        <v>9.4808499242044111E-2</v>
      </c>
    </row>
    <row r="80" spans="1:3" ht="14" customHeight="1" x14ac:dyDescent="0.2">
      <c r="A80" s="1" t="s">
        <v>12</v>
      </c>
      <c r="B80" s="9" t="s">
        <v>74</v>
      </c>
    </row>
    <row r="81" spans="2:7" ht="14" customHeight="1" x14ac:dyDescent="0.2">
      <c r="B81" s="1" t="s">
        <v>92</v>
      </c>
      <c r="C81" s="93"/>
    </row>
    <row r="82" spans="2:7" ht="14" customHeight="1" x14ac:dyDescent="0.2">
      <c r="B82" s="1" t="s">
        <v>285</v>
      </c>
      <c r="C82" s="93"/>
      <c r="D82" s="355">
        <f>'Income Statement'!M20+-'Fixed Asset'!E11</f>
        <v>842799</v>
      </c>
    </row>
    <row r="83" spans="2:7" ht="14" customHeight="1" x14ac:dyDescent="0.2">
      <c r="C83" s="93"/>
    </row>
    <row r="84" spans="2:7" ht="14" customHeight="1" x14ac:dyDescent="0.2">
      <c r="C84" s="93"/>
    </row>
    <row r="85" spans="2:7" ht="14" customHeight="1" x14ac:dyDescent="0.2">
      <c r="C85" s="93"/>
    </row>
    <row r="86" spans="2:7" ht="14" customHeight="1" x14ac:dyDescent="0.2">
      <c r="C86" s="93"/>
    </row>
    <row r="87" spans="2:7" ht="14" customHeight="1" x14ac:dyDescent="0.2">
      <c r="C87" s="93"/>
    </row>
    <row r="88" spans="2:7" ht="14" customHeight="1" x14ac:dyDescent="0.2">
      <c r="C88" s="93"/>
    </row>
    <row r="89" spans="2:7" ht="14" customHeight="1" x14ac:dyDescent="0.2">
      <c r="C89" s="93"/>
    </row>
    <row r="90" spans="2:7" ht="14" customHeight="1" x14ac:dyDescent="0.2">
      <c r="C90" s="93"/>
    </row>
    <row r="91" spans="2:7" ht="14" customHeight="1" x14ac:dyDescent="0.2">
      <c r="C91" s="93"/>
    </row>
    <row r="92" spans="2:7" ht="14" customHeight="1" x14ac:dyDescent="0.2">
      <c r="C92" s="93"/>
    </row>
    <row r="93" spans="2:7" ht="14" customHeight="1" x14ac:dyDescent="0.2">
      <c r="C93" s="93"/>
    </row>
    <row r="94" spans="2:7" ht="14" customHeight="1" x14ac:dyDescent="0.2">
      <c r="C94" s="93"/>
    </row>
    <row r="95" spans="2:7" ht="14" customHeight="1" x14ac:dyDescent="0.2">
      <c r="B95" s="9"/>
    </row>
    <row r="96" spans="2:7" ht="14" customHeight="1" x14ac:dyDescent="0.2">
      <c r="B96" s="1" t="s">
        <v>85</v>
      </c>
      <c r="C96" s="72" t="s">
        <v>78</v>
      </c>
      <c r="D96" s="72" t="s">
        <v>81</v>
      </c>
      <c r="E96" s="72" t="s">
        <v>79</v>
      </c>
      <c r="F96" s="72" t="s">
        <v>80</v>
      </c>
      <c r="G96" s="72" t="s">
        <v>84</v>
      </c>
    </row>
    <row r="97" spans="2:7" ht="14" customHeight="1" x14ac:dyDescent="0.2">
      <c r="B97" s="1" t="s">
        <v>86</v>
      </c>
      <c r="C97" s="86">
        <v>0.12928999999999999</v>
      </c>
      <c r="D97" s="86">
        <v>4.8439000000000003E-2</v>
      </c>
      <c r="E97" s="86">
        <v>8.8347999999999996E-2</v>
      </c>
      <c r="F97" s="86">
        <v>0.13877</v>
      </c>
      <c r="G97" s="82">
        <f>(C97*0.6)+(D97*0.25)+(E97*0.1)+(F97*0.05)</f>
        <v>0.10545705</v>
      </c>
    </row>
    <row r="98" spans="2:7" ht="14" customHeight="1" x14ac:dyDescent="0.2">
      <c r="B98" s="1" t="s">
        <v>82</v>
      </c>
      <c r="C98" s="86">
        <v>4.2688999999999998E-2</v>
      </c>
      <c r="D98" s="86">
        <v>2.8835E-2</v>
      </c>
      <c r="E98" s="86">
        <v>5.2367999999999998E-2</v>
      </c>
      <c r="F98" s="86">
        <v>0.14191799999999999</v>
      </c>
      <c r="G98" s="82">
        <f>(C98*0.6)+(D98*0.25)+(E98*0.1)+(F98*0.05)</f>
        <v>4.5154849999999996E-2</v>
      </c>
    </row>
    <row r="99" spans="2:7" ht="14" customHeight="1" x14ac:dyDescent="0.2">
      <c r="B99" s="1" t="s">
        <v>83</v>
      </c>
      <c r="C99" s="86">
        <v>8.6757000000000001E-2</v>
      </c>
      <c r="D99" s="86">
        <v>7.7480999999999994E-2</v>
      </c>
      <c r="E99" s="86">
        <v>9.2162999999999995E-2</v>
      </c>
      <c r="F99" s="86">
        <v>0.137493</v>
      </c>
      <c r="G99" s="82">
        <f>(C99*0.6)+(D99*0.25)+(E99*0.1)+(F99*0.05)</f>
        <v>8.7515399999999993E-2</v>
      </c>
    </row>
    <row r="100" spans="2:7" ht="14" customHeight="1" x14ac:dyDescent="0.2">
      <c r="B100" s="1" t="s">
        <v>87</v>
      </c>
      <c r="C100" s="86">
        <v>0.10647</v>
      </c>
      <c r="D100" s="86">
        <v>-9.7909999999999994E-3</v>
      </c>
      <c r="E100" s="86">
        <v>2.2037000000000001E-2</v>
      </c>
      <c r="F100" s="86">
        <v>6.1048999999999999E-2</v>
      </c>
      <c r="G100" s="82">
        <f>(C100*0.6)+(D100*0.25)+(E100*0.1)+(F100*0.05)</f>
        <v>6.6690399999999997E-2</v>
      </c>
    </row>
    <row r="101" spans="2:7" ht="14" customHeight="1" x14ac:dyDescent="0.2">
      <c r="B101" s="1" t="s">
        <v>88</v>
      </c>
      <c r="C101" s="86">
        <v>-8.2161999999999999E-2</v>
      </c>
      <c r="D101" s="86">
        <v>0.30473</v>
      </c>
      <c r="E101" s="86">
        <v>0.11368</v>
      </c>
      <c r="F101" s="86">
        <v>4.9502999999999998E-2</v>
      </c>
      <c r="G101" s="86">
        <f>(C101*0.6)+(D101*0.25)+(E101*0.1)+(F101*0.05)</f>
        <v>4.0728450000000006E-2</v>
      </c>
    </row>
    <row r="102" spans="2:7" ht="14" customHeight="1" x14ac:dyDescent="0.2">
      <c r="B102" s="9" t="s">
        <v>67</v>
      </c>
      <c r="C102" s="88">
        <f>(G97*0.5)+(G98*0.1)+(G99*0.15)+(G100*0.2)+(G101*0.05)</f>
        <v>8.5745822499999999E-2</v>
      </c>
      <c r="D102" s="86"/>
      <c r="E102" s="86"/>
      <c r="F102" s="86"/>
    </row>
    <row r="104" spans="2:7" ht="14" customHeight="1" x14ac:dyDescent="0.2">
      <c r="B104" s="9" t="s">
        <v>91</v>
      </c>
      <c r="C104" s="82" t="s">
        <v>92</v>
      </c>
      <c r="D104" s="1" t="s">
        <v>93</v>
      </c>
      <c r="E104" s="1" t="s">
        <v>94</v>
      </c>
    </row>
    <row r="105" spans="2:7" ht="14" customHeight="1" x14ac:dyDescent="0.2">
      <c r="B105" s="26" t="s">
        <v>38</v>
      </c>
      <c r="C105" s="85">
        <v>1505</v>
      </c>
      <c r="D105" s="64">
        <v>8930.2731578300009</v>
      </c>
      <c r="E105" s="65"/>
    </row>
    <row r="106" spans="2:7" ht="14" customHeight="1" x14ac:dyDescent="0.2">
      <c r="B106" s="40" t="s">
        <v>39</v>
      </c>
      <c r="C106" s="85">
        <v>9274.7049999999999</v>
      </c>
      <c r="D106" s="64">
        <v>71153.563048919998</v>
      </c>
      <c r="E106" s="65"/>
    </row>
    <row r="107" spans="2:7" ht="14" customHeight="1" x14ac:dyDescent="0.2">
      <c r="B107" s="40" t="s">
        <v>40</v>
      </c>
      <c r="C107" s="85">
        <v>5250.7539999999999</v>
      </c>
      <c r="D107" s="64">
        <v>18106.1186304</v>
      </c>
      <c r="E107" s="65"/>
    </row>
    <row r="108" spans="2:7" ht="14" customHeight="1" x14ac:dyDescent="0.2">
      <c r="B108" s="40" t="s">
        <v>41</v>
      </c>
      <c r="C108" s="85">
        <v>19.690000000000001</v>
      </c>
      <c r="D108" s="64">
        <v>165.45272119999998</v>
      </c>
      <c r="E108" s="65">
        <f t="shared" ref="E108:E113" si="5">D108/C108</f>
        <v>8.4028807110208206</v>
      </c>
    </row>
    <row r="109" spans="2:7" ht="14" customHeight="1" x14ac:dyDescent="0.2">
      <c r="B109" s="26" t="s">
        <v>43</v>
      </c>
      <c r="C109" s="85">
        <v>112.86750000000001</v>
      </c>
      <c r="D109" s="64">
        <v>888.58531498204695</v>
      </c>
      <c r="E109" s="65">
        <f t="shared" si="5"/>
        <v>7.8728182601904617</v>
      </c>
    </row>
    <row r="110" spans="2:7" ht="14" customHeight="1" x14ac:dyDescent="0.2">
      <c r="B110" s="26" t="s">
        <v>44</v>
      </c>
      <c r="C110" s="85">
        <v>1196.1297</v>
      </c>
      <c r="D110" s="64">
        <v>894.43591214157038</v>
      </c>
      <c r="E110" s="65">
        <f t="shared" si="5"/>
        <v>0.74777502150608788</v>
      </c>
    </row>
    <row r="111" spans="2:7" ht="14" customHeight="1" x14ac:dyDescent="0.2">
      <c r="B111" s="26" t="s">
        <v>45</v>
      </c>
      <c r="C111" s="85">
        <v>219.9025</v>
      </c>
      <c r="D111" s="64">
        <v>1855.5652110906613</v>
      </c>
      <c r="E111" s="65">
        <f t="shared" si="5"/>
        <v>8.4381269475820471</v>
      </c>
    </row>
    <row r="112" spans="2:7" ht="14" customHeight="1" x14ac:dyDescent="0.2">
      <c r="B112" s="26" t="s">
        <v>53</v>
      </c>
      <c r="C112" s="85">
        <v>287.55930000000001</v>
      </c>
      <c r="D112" s="64">
        <v>3809.4109769230772</v>
      </c>
      <c r="E112" s="65">
        <f t="shared" si="5"/>
        <v>13.247392718382182</v>
      </c>
    </row>
    <row r="113" spans="2:5" ht="14" customHeight="1" x14ac:dyDescent="0.2">
      <c r="B113" s="26" t="s">
        <v>42</v>
      </c>
      <c r="C113" s="85">
        <v>323.51900000000001</v>
      </c>
      <c r="D113" s="66">
        <v>2345.7698774999999</v>
      </c>
      <c r="E113" s="65">
        <f t="shared" si="5"/>
        <v>7.2507947833048441</v>
      </c>
    </row>
    <row r="114" spans="2:5" ht="14" customHeight="1" x14ac:dyDescent="0.2">
      <c r="B114" s="9" t="s">
        <v>95</v>
      </c>
      <c r="E114" s="91">
        <f>AVERAGE(E105:E113)</f>
        <v>7.6599647403310742</v>
      </c>
    </row>
    <row r="115" spans="2:5" ht="14" customHeight="1" x14ac:dyDescent="0.2">
      <c r="B115" s="9" t="s">
        <v>49</v>
      </c>
      <c r="E115" s="91">
        <f>_xlfn.QUARTILE.EXC(E105:E113,2)</f>
        <v>8.137849485605642</v>
      </c>
    </row>
    <row r="116" spans="2:5" ht="14" customHeight="1" x14ac:dyDescent="0.2">
      <c r="B116" s="9" t="s">
        <v>94</v>
      </c>
      <c r="E116" s="92">
        <f>AVERAGE(E114:E115)</f>
        <v>7.8989071129683577</v>
      </c>
    </row>
  </sheetData>
  <mergeCells count="15">
    <mergeCell ref="D1:F1"/>
    <mergeCell ref="N27:O27"/>
    <mergeCell ref="N46:O46"/>
    <mergeCell ref="B24:C24"/>
    <mergeCell ref="B44:C44"/>
    <mergeCell ref="C6:H6"/>
    <mergeCell ref="N7:Q19"/>
    <mergeCell ref="B64:C64"/>
    <mergeCell ref="F44:K44"/>
    <mergeCell ref="E25:E26"/>
    <mergeCell ref="F25:K25"/>
    <mergeCell ref="E27:E31"/>
    <mergeCell ref="E45:E46"/>
    <mergeCell ref="F45:K45"/>
    <mergeCell ref="E47:E51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5"/>
  <sheetViews>
    <sheetView showGridLines="0" zoomScale="89" zoomScaleNormal="66" zoomScalePageLayoutView="66" workbookViewId="0">
      <selection activeCell="B6" sqref="B6"/>
    </sheetView>
  </sheetViews>
  <sheetFormatPr baseColWidth="10" defaultColWidth="8.5" defaultRowHeight="14" customHeight="1" x14ac:dyDescent="0.2"/>
  <cols>
    <col min="1" max="1" width="1.5" style="1" customWidth="1"/>
    <col min="2" max="2" width="40.5" style="1" customWidth="1"/>
    <col min="3" max="3" width="14.5" style="1" bestFit="1" customWidth="1"/>
    <col min="4" max="7" width="10.5" style="1" customWidth="1"/>
    <col min="8" max="9" width="9.83203125" style="1" customWidth="1"/>
    <col min="10" max="12" width="8.5" style="1"/>
    <col min="13" max="13" width="28.83203125" style="1" customWidth="1"/>
    <col min="14" max="15" width="9.1640625" style="1" customWidth="1"/>
    <col min="16" max="16384" width="8.5" style="1"/>
  </cols>
  <sheetData>
    <row r="1" spans="1:17" ht="21" x14ac:dyDescent="0.3">
      <c r="B1" s="8" t="s">
        <v>188</v>
      </c>
      <c r="D1" s="476" t="s">
        <v>126</v>
      </c>
      <c r="E1" s="477"/>
      <c r="F1" s="478"/>
    </row>
    <row r="2" spans="1:17" ht="14" customHeight="1" x14ac:dyDescent="0.2">
      <c r="B2" s="1" t="s">
        <v>163</v>
      </c>
      <c r="D2" s="136" t="s">
        <v>123</v>
      </c>
      <c r="E2" s="137" t="s">
        <v>124</v>
      </c>
      <c r="F2" s="138" t="s">
        <v>125</v>
      </c>
      <c r="H2" s="139" t="s">
        <v>130</v>
      </c>
    </row>
    <row r="4" spans="1:17" ht="14" customHeight="1" x14ac:dyDescent="0.2">
      <c r="B4" s="9" t="s">
        <v>162</v>
      </c>
    </row>
    <row r="5" spans="1:17" ht="14" customHeight="1" x14ac:dyDescent="0.2">
      <c r="B5" s="10" t="s">
        <v>172</v>
      </c>
    </row>
    <row r="6" spans="1:17" ht="14" customHeight="1" x14ac:dyDescent="0.2">
      <c r="B6" s="40"/>
      <c r="C6" s="487" t="s">
        <v>281</v>
      </c>
      <c r="D6" s="488"/>
      <c r="E6" s="488"/>
      <c r="F6" s="488"/>
      <c r="G6" s="488"/>
      <c r="H6" s="488"/>
    </row>
    <row r="7" spans="1:17" ht="14" customHeight="1" x14ac:dyDescent="0.2">
      <c r="B7" s="40"/>
      <c r="C7" s="12">
        <v>2018</v>
      </c>
      <c r="D7" s="12">
        <v>2019</v>
      </c>
      <c r="E7" s="12">
        <v>2020</v>
      </c>
      <c r="F7" s="56">
        <v>2021</v>
      </c>
      <c r="G7" s="56">
        <v>2022</v>
      </c>
      <c r="H7" s="56">
        <v>2023</v>
      </c>
      <c r="N7" s="489" t="s">
        <v>286</v>
      </c>
      <c r="O7" s="489"/>
      <c r="P7" s="489"/>
      <c r="Q7" s="489"/>
    </row>
    <row r="8" spans="1:17" ht="14" hidden="1" customHeight="1" x14ac:dyDescent="0.2">
      <c r="B8" s="40" t="s">
        <v>76</v>
      </c>
      <c r="C8" s="83">
        <v>3</v>
      </c>
      <c r="D8" s="83">
        <v>4</v>
      </c>
      <c r="E8" s="83">
        <v>5</v>
      </c>
      <c r="F8" s="83">
        <v>6</v>
      </c>
      <c r="G8" s="83">
        <v>6</v>
      </c>
      <c r="H8" s="83">
        <v>6</v>
      </c>
      <c r="N8" s="489"/>
      <c r="O8" s="489"/>
      <c r="P8" s="489"/>
      <c r="Q8" s="489"/>
    </row>
    <row r="9" spans="1:17" ht="14" hidden="1" customHeight="1" x14ac:dyDescent="0.2">
      <c r="B9" s="40"/>
      <c r="C9" s="40"/>
      <c r="D9" s="40"/>
      <c r="E9" s="40"/>
      <c r="F9" s="40"/>
      <c r="G9" s="40"/>
      <c r="H9" s="40"/>
      <c r="N9" s="489"/>
      <c r="O9" s="489"/>
      <c r="P9" s="489"/>
      <c r="Q9" s="489"/>
    </row>
    <row r="10" spans="1:17" s="9" customFormat="1" ht="14" customHeight="1" x14ac:dyDescent="0.2">
      <c r="B10" s="45" t="s">
        <v>4</v>
      </c>
      <c r="C10" s="389">
        <f t="shared" ref="C10:H10" si="0">C12-C11</f>
        <v>989741.2598819983</v>
      </c>
      <c r="D10" s="389">
        <f t="shared" si="0"/>
        <v>1077594.0842693986</v>
      </c>
      <c r="E10" s="389">
        <f t="shared" si="0"/>
        <v>1219437.5085691113</v>
      </c>
      <c r="F10" s="389">
        <f t="shared" si="0"/>
        <v>1434994.14332232</v>
      </c>
      <c r="G10" s="389">
        <f t="shared" si="0"/>
        <v>1757837.7117304928</v>
      </c>
      <c r="H10" s="389">
        <f t="shared" si="0"/>
        <v>2241056.0698791887</v>
      </c>
      <c r="N10" s="489"/>
      <c r="O10" s="489"/>
      <c r="P10" s="489"/>
      <c r="Q10" s="489"/>
    </row>
    <row r="11" spans="1:17" ht="14" customHeight="1" x14ac:dyDescent="0.2">
      <c r="B11" s="312" t="s">
        <v>31</v>
      </c>
      <c r="C11" s="314">
        <f>'Fixed Asset'!G11</f>
        <v>-236070.06957874852</v>
      </c>
      <c r="D11" s="314">
        <f>'Fixed Asset'!H11</f>
        <v>-221366.16193745364</v>
      </c>
      <c r="E11" s="314">
        <f>'Fixed Asset'!I11</f>
        <v>-219853.4812705848</v>
      </c>
      <c r="F11" s="314">
        <f>'Fixed Asset'!J11</f>
        <v>-229351.09664395612</v>
      </c>
      <c r="G11" s="314">
        <f>'Fixed Asset'!K11</f>
        <v>-250024.8948124726</v>
      </c>
      <c r="H11" s="314">
        <f>'Fixed Asset'!L11</f>
        <v>-284073.4120385985</v>
      </c>
      <c r="N11" s="489"/>
      <c r="O11" s="489"/>
      <c r="P11" s="489"/>
      <c r="Q11" s="489"/>
    </row>
    <row r="12" spans="1:17" s="9" customFormat="1" ht="14" customHeight="1" x14ac:dyDescent="0.2">
      <c r="A12" s="9" t="s">
        <v>12</v>
      </c>
      <c r="B12" s="45" t="s">
        <v>5</v>
      </c>
      <c r="C12" s="193">
        <f>'Income Statement'!S20</f>
        <v>753671.19030324975</v>
      </c>
      <c r="D12" s="193">
        <f>'Income Statement'!T20</f>
        <v>856227.92233194504</v>
      </c>
      <c r="E12" s="193">
        <f>'Income Statement'!U20</f>
        <v>999584.02729852661</v>
      </c>
      <c r="F12" s="193">
        <f>'Income Statement'!V20</f>
        <v>1205643.0466783638</v>
      </c>
      <c r="G12" s="193">
        <f>'Income Statement'!W20</f>
        <v>1507812.8169180201</v>
      </c>
      <c r="H12" s="193">
        <f>'Income Statement'!X20</f>
        <v>1956982.65784059</v>
      </c>
      <c r="N12" s="489"/>
      <c r="O12" s="489"/>
      <c r="P12" s="489"/>
      <c r="Q12" s="489"/>
    </row>
    <row r="13" spans="1:17" s="9" customFormat="1" ht="14" customHeight="1" x14ac:dyDescent="0.2">
      <c r="B13" s="312" t="s">
        <v>14</v>
      </c>
      <c r="C13" s="314">
        <f>'Income Statement'!S23</f>
        <v>-200360.04452369694</v>
      </c>
      <c r="D13" s="314">
        <f>'Income Statement'!T23</f>
        <v>-228665.70256361685</v>
      </c>
      <c r="E13" s="314">
        <f>'Income Statement'!U23</f>
        <v>-268231.98753439338</v>
      </c>
      <c r="F13" s="314">
        <f>'Income Statement'!V23</f>
        <v>-325104.27688322845</v>
      </c>
      <c r="G13" s="314">
        <f>'Income Statement'!W23</f>
        <v>-408503.13346937357</v>
      </c>
      <c r="H13" s="314">
        <f>'Income Statement'!X23</f>
        <v>-532474.00956400286</v>
      </c>
      <c r="N13" s="489"/>
      <c r="O13" s="489"/>
      <c r="P13" s="489"/>
      <c r="Q13" s="489"/>
    </row>
    <row r="14" spans="1:17" s="9" customFormat="1" ht="14" customHeight="1" x14ac:dyDescent="0.2">
      <c r="B14" s="45" t="s">
        <v>15</v>
      </c>
      <c r="C14" s="213">
        <f t="shared" ref="C14:H14" si="1">C12+C13</f>
        <v>553311.14577955287</v>
      </c>
      <c r="D14" s="213">
        <f t="shared" si="1"/>
        <v>627562.21976832813</v>
      </c>
      <c r="E14" s="213">
        <f t="shared" si="1"/>
        <v>731352.03976413328</v>
      </c>
      <c r="F14" s="213">
        <f t="shared" si="1"/>
        <v>880538.76979513536</v>
      </c>
      <c r="G14" s="213">
        <f t="shared" si="1"/>
        <v>1099309.6834486467</v>
      </c>
      <c r="H14" s="213">
        <f t="shared" si="1"/>
        <v>1424508.648276587</v>
      </c>
      <c r="N14" s="489"/>
      <c r="O14" s="489"/>
      <c r="P14" s="489"/>
      <c r="Q14" s="489"/>
    </row>
    <row r="15" spans="1:17" ht="14" customHeight="1" x14ac:dyDescent="0.2">
      <c r="B15" s="313" t="s">
        <v>32</v>
      </c>
      <c r="C15" s="61">
        <f t="shared" ref="C15:H15" si="2">-C11</f>
        <v>236070.06957874852</v>
      </c>
      <c r="D15" s="61">
        <f t="shared" si="2"/>
        <v>221366.16193745364</v>
      </c>
      <c r="E15" s="61">
        <f t="shared" si="2"/>
        <v>219853.4812705848</v>
      </c>
      <c r="F15" s="61">
        <f t="shared" si="2"/>
        <v>229351.09664395612</v>
      </c>
      <c r="G15" s="61">
        <f t="shared" si="2"/>
        <v>250024.8948124726</v>
      </c>
      <c r="H15" s="61">
        <f t="shared" si="2"/>
        <v>284073.4120385985</v>
      </c>
      <c r="N15" s="489"/>
      <c r="O15" s="489"/>
      <c r="P15" s="489"/>
      <c r="Q15" s="489"/>
    </row>
    <row r="16" spans="1:17" s="9" customFormat="1" ht="14" customHeight="1" x14ac:dyDescent="0.2">
      <c r="B16" s="313" t="s">
        <v>33</v>
      </c>
      <c r="C16" s="319">
        <f>-'Fixed Asset'!G10</f>
        <v>-198904.4423047062</v>
      </c>
      <c r="D16" s="319">
        <f>-'Fixed Asset'!H10</f>
        <v>-217542.70716468239</v>
      </c>
      <c r="E16" s="319">
        <f>-'Fixed Asset'!I10</f>
        <v>-243859.67347269037</v>
      </c>
      <c r="F16" s="319">
        <f>-'Fixed Asset'!J10</f>
        <v>-281606.23152470012</v>
      </c>
      <c r="G16" s="319">
        <f>-'Fixed Asset'!K10</f>
        <v>-336085.99716230819</v>
      </c>
      <c r="H16" s="319">
        <f>-'Fixed Asset'!L10</f>
        <v>-414719.01221542881</v>
      </c>
      <c r="N16" s="489"/>
      <c r="O16" s="489"/>
      <c r="P16" s="489"/>
      <c r="Q16" s="489"/>
    </row>
    <row r="17" spans="1:20" ht="14" customHeight="1" x14ac:dyDescent="0.2">
      <c r="B17" s="312" t="s">
        <v>34</v>
      </c>
      <c r="C17" s="314">
        <f>-'Working Cap'!G19</f>
        <v>-136159.10023715114</v>
      </c>
      <c r="D17" s="314">
        <f>-'Working Cap'!H19</f>
        <v>-169433.19243868208</v>
      </c>
      <c r="E17" s="314">
        <f>-'Working Cap'!I19</f>
        <v>-232135.62410968868</v>
      </c>
      <c r="F17" s="314">
        <f>-'Working Cap'!J19</f>
        <v>-343995.40144845843</v>
      </c>
      <c r="G17" s="314">
        <f>-'Working Cap'!K19</f>
        <v>-500091.453416351</v>
      </c>
      <c r="H17" s="314">
        <f>-'Working Cap'!L19</f>
        <v>-748121.83112132689</v>
      </c>
      <c r="N17" s="489"/>
      <c r="O17" s="489"/>
      <c r="P17" s="489"/>
      <c r="Q17" s="489"/>
    </row>
    <row r="18" spans="1:20" s="9" customFormat="1" ht="14" customHeight="1" x14ac:dyDescent="0.2">
      <c r="A18" s="9" t="s">
        <v>12</v>
      </c>
      <c r="B18" s="45" t="s">
        <v>35</v>
      </c>
      <c r="C18" s="389">
        <f t="shared" ref="C18:H18" si="3">SUM(C14:C17)</f>
        <v>454317.67281644407</v>
      </c>
      <c r="D18" s="389">
        <f t="shared" si="3"/>
        <v>461952.48210241739</v>
      </c>
      <c r="E18" s="389">
        <f t="shared" si="3"/>
        <v>475210.22345233895</v>
      </c>
      <c r="F18" s="389">
        <f t="shared" si="3"/>
        <v>484288.23346593301</v>
      </c>
      <c r="G18" s="389">
        <f t="shared" si="3"/>
        <v>513157.12768246012</v>
      </c>
      <c r="H18" s="389">
        <f t="shared" si="3"/>
        <v>545741.21697842982</v>
      </c>
      <c r="N18" s="489"/>
      <c r="O18" s="489"/>
      <c r="P18" s="489"/>
      <c r="Q18" s="489"/>
    </row>
    <row r="19" spans="1:20" ht="14" customHeight="1" thickBot="1" x14ac:dyDescent="0.25">
      <c r="B19" s="46"/>
      <c r="C19" s="51"/>
      <c r="D19" s="40"/>
      <c r="E19" s="40"/>
      <c r="F19" s="40"/>
      <c r="G19" s="40"/>
      <c r="H19" s="40"/>
      <c r="N19" s="489"/>
      <c r="O19" s="489"/>
      <c r="P19" s="489"/>
      <c r="Q19" s="489"/>
    </row>
    <row r="20" spans="1:20" ht="14" customHeight="1" thickBot="1" x14ac:dyDescent="0.25">
      <c r="B20" s="111" t="s">
        <v>55</v>
      </c>
      <c r="C20" s="390">
        <f t="shared" ref="C20:H20" si="4">C18/(1+$C$78)^C8</f>
        <v>350657.303334606</v>
      </c>
      <c r="D20" s="390">
        <f t="shared" si="4"/>
        <v>327060.66468076408</v>
      </c>
      <c r="E20" s="390">
        <f t="shared" si="4"/>
        <v>308620.33467182872</v>
      </c>
      <c r="F20" s="390">
        <f t="shared" si="4"/>
        <v>288503.06570181751</v>
      </c>
      <c r="G20" s="390">
        <f t="shared" si="4"/>
        <v>305701.01500007446</v>
      </c>
      <c r="H20" s="391">
        <f t="shared" si="4"/>
        <v>325112.20239918004</v>
      </c>
    </row>
    <row r="21" spans="1:20" ht="14" customHeight="1" x14ac:dyDescent="0.2">
      <c r="B21" s="46" t="s">
        <v>148</v>
      </c>
      <c r="C21" s="47"/>
      <c r="D21" s="51"/>
      <c r="E21" s="51"/>
      <c r="F21" s="40"/>
      <c r="G21" s="40"/>
      <c r="I21" s="392">
        <f>SUM(D20:H20)</f>
        <v>1554997.2824536648</v>
      </c>
    </row>
    <row r="22" spans="1:20" ht="14" customHeight="1" x14ac:dyDescent="0.2">
      <c r="B22" s="46"/>
      <c r="C22" s="52"/>
      <c r="D22" s="52"/>
      <c r="E22" s="52"/>
      <c r="F22" s="52"/>
      <c r="G22" s="52"/>
      <c r="H22" s="40"/>
    </row>
    <row r="23" spans="1:20" s="9" customFormat="1" ht="14" customHeight="1" thickBot="1" x14ac:dyDescent="0.25">
      <c r="B23" s="49"/>
      <c r="C23" s="42"/>
      <c r="D23" s="50"/>
      <c r="E23" s="50"/>
      <c r="F23" s="45"/>
      <c r="G23" s="45"/>
      <c r="H23" s="45"/>
    </row>
    <row r="24" spans="1:20" s="9" customFormat="1" ht="14" customHeight="1" thickBot="1" x14ac:dyDescent="0.25">
      <c r="A24" s="9" t="s">
        <v>12</v>
      </c>
      <c r="B24" s="490" t="s">
        <v>54</v>
      </c>
      <c r="C24" s="491"/>
      <c r="D24" s="48"/>
      <c r="E24" s="48"/>
      <c r="F24" s="45"/>
      <c r="G24" s="45"/>
      <c r="H24" s="45"/>
    </row>
    <row r="25" spans="1:20" ht="14" customHeight="1" x14ac:dyDescent="0.2">
      <c r="B25" s="63"/>
      <c r="C25" s="73"/>
      <c r="D25" s="42"/>
      <c r="E25" s="492"/>
      <c r="F25" s="494" t="s">
        <v>56</v>
      </c>
      <c r="G25" s="494"/>
      <c r="H25" s="494"/>
      <c r="I25" s="494"/>
      <c r="J25" s="494"/>
      <c r="K25" s="495"/>
    </row>
    <row r="26" spans="1:20" s="9" customFormat="1" ht="14" customHeight="1" x14ac:dyDescent="0.2">
      <c r="B26" s="79" t="s">
        <v>55</v>
      </c>
      <c r="C26" s="349">
        <f>I21</f>
        <v>1554997.2824536648</v>
      </c>
      <c r="D26" s="50"/>
      <c r="E26" s="493"/>
      <c r="F26" s="220">
        <f>C42</f>
        <v>45.900635821636882</v>
      </c>
      <c r="G26" s="96">
        <f>H26-T28</f>
        <v>3.0000000000000002E-2</v>
      </c>
      <c r="H26" s="96">
        <f>I26-T28</f>
        <v>3.2500000000000001E-2</v>
      </c>
      <c r="I26" s="96">
        <v>3.5000000000000003E-2</v>
      </c>
      <c r="J26" s="96">
        <f>I26+T28</f>
        <v>3.7500000000000006E-2</v>
      </c>
      <c r="K26" s="100">
        <f>J26+T28</f>
        <v>4.0000000000000008E-2</v>
      </c>
    </row>
    <row r="27" spans="1:20" ht="14" customHeight="1" thickBot="1" x14ac:dyDescent="0.25">
      <c r="B27" s="63"/>
      <c r="C27" s="73"/>
      <c r="D27" s="43"/>
      <c r="E27" s="499" t="s">
        <v>71</v>
      </c>
      <c r="F27" s="97">
        <f>F28-T27</f>
        <v>8.0165029999999984E-2</v>
      </c>
      <c r="G27" s="221">
        <f t="dataTable" ref="G27:K31" dt2D="1" dtr="1" r1="C29" r2="C78" ca="1"/>
        <v>51.787469346188644</v>
      </c>
      <c r="H27" s="221">
        <v>54.138084287176127</v>
      </c>
      <c r="I27" s="221">
        <v>56.748924333846865</v>
      </c>
      <c r="J27" s="221">
        <v>59.66573393528774</v>
      </c>
      <c r="K27" s="222">
        <v>62.945646664180614</v>
      </c>
      <c r="M27" s="143"/>
      <c r="N27" s="501"/>
      <c r="O27" s="501"/>
      <c r="S27" s="103" t="s">
        <v>97</v>
      </c>
      <c r="T27" s="104">
        <v>5.0000000000000001E-3</v>
      </c>
    </row>
    <row r="28" spans="1:20" s="9" customFormat="1" ht="14" customHeight="1" thickBot="1" x14ac:dyDescent="0.25">
      <c r="B28" s="63" t="s">
        <v>282</v>
      </c>
      <c r="C28" s="350">
        <f>H18</f>
        <v>545741.21697842982</v>
      </c>
      <c r="D28" s="50"/>
      <c r="E28" s="499"/>
      <c r="F28" s="97">
        <f>F29-T27</f>
        <v>8.5165029999999989E-2</v>
      </c>
      <c r="G28" s="223">
        <v>46.801847438265597</v>
      </c>
      <c r="H28" s="224">
        <v>48.701059837584808</v>
      </c>
      <c r="I28" s="225">
        <v>50.789568684979443</v>
      </c>
      <c r="J28" s="226">
        <v>53.097159409317683</v>
      </c>
      <c r="K28" s="227">
        <v>55.660212238334942</v>
      </c>
      <c r="M28" s="143"/>
      <c r="N28" s="237"/>
      <c r="O28" s="237"/>
      <c r="S28" s="105" t="s">
        <v>96</v>
      </c>
      <c r="T28" s="106">
        <f>0.0025</f>
        <v>2.5000000000000001E-3</v>
      </c>
    </row>
    <row r="29" spans="1:20" s="9" customFormat="1" ht="14" customHeight="1" thickBot="1" x14ac:dyDescent="0.25">
      <c r="B29" s="80" t="s">
        <v>56</v>
      </c>
      <c r="C29" s="112">
        <v>3.5000000000000003E-2</v>
      </c>
      <c r="D29" s="51"/>
      <c r="E29" s="499"/>
      <c r="F29" s="97">
        <v>9.0165029999999993E-2</v>
      </c>
      <c r="G29" s="223">
        <v>42.636293586138521</v>
      </c>
      <c r="H29" s="228">
        <v>44.197704621850477</v>
      </c>
      <c r="I29" s="229">
        <v>45.90063747271526</v>
      </c>
      <c r="J29" s="230">
        <v>47.76524618808299</v>
      </c>
      <c r="K29" s="227">
        <v>49.815702366849806</v>
      </c>
      <c r="M29" s="210"/>
      <c r="N29" s="315"/>
      <c r="O29" s="315"/>
    </row>
    <row r="30" spans="1:20" ht="14" customHeight="1" thickBot="1" x14ac:dyDescent="0.25">
      <c r="B30" s="74" t="s">
        <v>57</v>
      </c>
      <c r="C30" s="350">
        <f>C28*((1+C29)/(C78-C29))</f>
        <v>10239134.114123007</v>
      </c>
      <c r="D30" s="51"/>
      <c r="E30" s="499"/>
      <c r="F30" s="98">
        <f>F29+T27</f>
        <v>9.5165029999999998E-2</v>
      </c>
      <c r="G30" s="223">
        <v>39.102694338737933</v>
      </c>
      <c r="H30" s="231">
        <v>40.405215443306631</v>
      </c>
      <c r="I30" s="232">
        <v>41.815982243470316</v>
      </c>
      <c r="J30" s="233">
        <v>43.349073336204704</v>
      </c>
      <c r="K30" s="227">
        <v>45.021119405736385</v>
      </c>
      <c r="M30" s="143"/>
      <c r="N30" s="143"/>
      <c r="O30" s="143"/>
    </row>
    <row r="31" spans="1:20" ht="14" customHeight="1" thickBot="1" x14ac:dyDescent="0.25">
      <c r="B31" s="63" t="s">
        <v>58</v>
      </c>
      <c r="C31" s="113">
        <v>5</v>
      </c>
      <c r="D31" s="51"/>
      <c r="E31" s="500"/>
      <c r="F31" s="99">
        <f>F30+T27</f>
        <v>0.10016503</v>
      </c>
      <c r="G31" s="234">
        <v>36.066522120094859</v>
      </c>
      <c r="H31" s="235">
        <v>37.166607903637981</v>
      </c>
      <c r="I31" s="235">
        <v>38.351101365927164</v>
      </c>
      <c r="J31" s="235">
        <v>39.630104753631606</v>
      </c>
      <c r="K31" s="236">
        <v>41.015399402863274</v>
      </c>
      <c r="M31" s="143"/>
      <c r="N31" s="143"/>
      <c r="O31" s="208"/>
    </row>
    <row r="32" spans="1:20" ht="14" customHeight="1" x14ac:dyDescent="0.2">
      <c r="B32" s="79" t="s">
        <v>59</v>
      </c>
      <c r="C32" s="349">
        <f>C30/(1+C78)^C31</f>
        <v>6649699.1038899915</v>
      </c>
      <c r="D32" s="48"/>
      <c r="E32" s="48"/>
      <c r="F32" s="51"/>
      <c r="G32" s="94"/>
      <c r="H32" s="94"/>
      <c r="I32" s="95"/>
      <c r="J32" s="95"/>
      <c r="K32" s="95"/>
      <c r="M32" s="143"/>
      <c r="N32" s="143"/>
      <c r="O32" s="143"/>
    </row>
    <row r="33" spans="1:17" ht="14" customHeight="1" x14ac:dyDescent="0.2">
      <c r="B33" s="63"/>
      <c r="C33" s="350"/>
      <c r="D33" s="53"/>
      <c r="E33" s="53"/>
      <c r="F33" s="53"/>
      <c r="G33" s="53"/>
      <c r="H33" s="40"/>
      <c r="M33" s="317"/>
      <c r="N33" s="317"/>
      <c r="O33" s="143"/>
    </row>
    <row r="34" spans="1:17" ht="14" customHeight="1" x14ac:dyDescent="0.2">
      <c r="B34" s="79" t="s">
        <v>72</v>
      </c>
      <c r="C34" s="349">
        <f>(C30/(1+C78)^C31)+I21</f>
        <v>8204696.3863436561</v>
      </c>
      <c r="D34" s="23"/>
      <c r="E34" s="23"/>
      <c r="F34" s="26"/>
      <c r="M34" s="238"/>
      <c r="N34" s="238"/>
      <c r="O34" s="143"/>
    </row>
    <row r="35" spans="1:17" ht="14" customHeight="1" x14ac:dyDescent="0.2">
      <c r="B35" s="215" t="s">
        <v>149</v>
      </c>
      <c r="C35" s="351">
        <f>C55</f>
        <v>20000</v>
      </c>
      <c r="D35" s="23"/>
      <c r="E35" s="23"/>
      <c r="F35" s="26"/>
      <c r="M35" s="238"/>
      <c r="N35" s="238"/>
      <c r="O35" s="143"/>
    </row>
    <row r="36" spans="1:17" ht="14" customHeight="1" x14ac:dyDescent="0.2">
      <c r="B36" s="79" t="s">
        <v>46</v>
      </c>
      <c r="C36" s="349">
        <f>C34-C35</f>
        <v>8184696.3863436561</v>
      </c>
      <c r="D36" s="23"/>
      <c r="E36" s="23"/>
      <c r="F36" s="26"/>
      <c r="M36" s="238"/>
      <c r="N36" s="238"/>
      <c r="O36" s="143"/>
    </row>
    <row r="37" spans="1:17" ht="14" customHeight="1" x14ac:dyDescent="0.2">
      <c r="B37" s="217"/>
      <c r="C37" s="216"/>
      <c r="D37" s="23"/>
      <c r="E37" s="23"/>
      <c r="F37" s="26"/>
      <c r="M37" s="238"/>
      <c r="N37" s="238"/>
      <c r="O37" s="143"/>
    </row>
    <row r="38" spans="1:17" ht="14" customHeight="1" x14ac:dyDescent="0.2">
      <c r="B38" s="79" t="s">
        <v>141</v>
      </c>
      <c r="C38" s="219">
        <f>'Income Statement'!R32</f>
        <v>188923</v>
      </c>
      <c r="D38" s="23"/>
      <c r="E38" s="23"/>
      <c r="F38" s="26"/>
      <c r="M38" s="238"/>
      <c r="N38" s="238"/>
      <c r="O38" s="143"/>
    </row>
    <row r="39" spans="1:17" ht="14" customHeight="1" x14ac:dyDescent="0.2">
      <c r="B39" s="217"/>
      <c r="C39" s="216"/>
      <c r="D39" s="23"/>
      <c r="E39" s="23"/>
      <c r="F39" s="26"/>
      <c r="M39" s="238"/>
      <c r="N39" s="238"/>
      <c r="O39" s="143"/>
    </row>
    <row r="40" spans="1:17" ht="14" customHeight="1" x14ac:dyDescent="0.2">
      <c r="B40" s="217" t="s">
        <v>150</v>
      </c>
      <c r="C40" s="353">
        <f>C36/C38</f>
        <v>43.322921964735137</v>
      </c>
      <c r="D40" s="23"/>
      <c r="E40" s="23"/>
      <c r="F40" s="26"/>
      <c r="M40" s="238"/>
      <c r="N40" s="238"/>
      <c r="O40" s="143"/>
    </row>
    <row r="41" spans="1:17" ht="14" customHeight="1" x14ac:dyDescent="0.2">
      <c r="B41" s="79" t="s">
        <v>284</v>
      </c>
      <c r="C41" s="354">
        <f>' DCF - Bloom WACC'!C41</f>
        <v>1.0595000000000001</v>
      </c>
      <c r="D41" s="23"/>
      <c r="E41" s="23"/>
      <c r="F41" s="26"/>
      <c r="M41" s="238"/>
      <c r="N41" s="238"/>
      <c r="O41" s="143"/>
    </row>
    <row r="42" spans="1:17" ht="14" customHeight="1" thickBot="1" x14ac:dyDescent="0.25">
      <c r="A42" s="1" t="s">
        <v>12</v>
      </c>
      <c r="B42" s="81" t="s">
        <v>150</v>
      </c>
      <c r="C42" s="352">
        <f>C40*C41</f>
        <v>45.900635821636882</v>
      </c>
      <c r="D42" s="23"/>
      <c r="E42" s="23"/>
      <c r="F42" s="26"/>
      <c r="M42" s="238"/>
      <c r="N42" s="238"/>
      <c r="O42" s="143"/>
    </row>
    <row r="43" spans="1:17" ht="14" customHeight="1" thickBot="1" x14ac:dyDescent="0.25">
      <c r="B43" s="26"/>
      <c r="C43" s="32"/>
      <c r="D43" s="23"/>
      <c r="E43" s="23"/>
      <c r="M43" s="143"/>
      <c r="N43" s="143"/>
      <c r="O43" s="143"/>
    </row>
    <row r="44" spans="1:17" ht="14" customHeight="1" thickBot="1" x14ac:dyDescent="0.25">
      <c r="A44" s="1" t="s">
        <v>12</v>
      </c>
      <c r="B44" s="490" t="s">
        <v>61</v>
      </c>
      <c r="C44" s="491"/>
      <c r="D44" s="23"/>
      <c r="E44" s="42"/>
      <c r="F44" s="502"/>
      <c r="G44" s="502"/>
      <c r="H44" s="502"/>
      <c r="I44" s="502"/>
      <c r="J44" s="502"/>
      <c r="K44" s="502"/>
      <c r="M44" s="143"/>
      <c r="N44" s="143"/>
      <c r="O44" s="143"/>
    </row>
    <row r="45" spans="1:17" ht="14" customHeight="1" x14ac:dyDescent="0.2">
      <c r="B45" s="63"/>
      <c r="C45" s="73"/>
      <c r="D45" s="23"/>
      <c r="E45" s="492"/>
      <c r="F45" s="494" t="s">
        <v>61</v>
      </c>
      <c r="G45" s="494"/>
      <c r="H45" s="494"/>
      <c r="I45" s="494"/>
      <c r="J45" s="494"/>
      <c r="K45" s="495"/>
      <c r="L45" s="9"/>
      <c r="M45" s="143"/>
      <c r="N45" s="143"/>
      <c r="O45" s="143"/>
    </row>
    <row r="46" spans="1:17" ht="14" customHeight="1" x14ac:dyDescent="0.2">
      <c r="B46" s="79" t="s">
        <v>55</v>
      </c>
      <c r="C46" s="349">
        <f>I21</f>
        <v>1554997.2824536648</v>
      </c>
      <c r="D46" s="23"/>
      <c r="E46" s="493"/>
      <c r="F46" s="220">
        <f>C62</f>
        <v>65.743875835990011</v>
      </c>
      <c r="G46" s="101">
        <f>H46-Q46</f>
        <v>6</v>
      </c>
      <c r="H46" s="101">
        <f>I46-Q46</f>
        <v>6.5</v>
      </c>
      <c r="I46" s="101">
        <v>7</v>
      </c>
      <c r="J46" s="101">
        <f>I46+Q46</f>
        <v>7.5</v>
      </c>
      <c r="K46" s="102">
        <f>J46+Q46</f>
        <v>8</v>
      </c>
      <c r="M46" s="143"/>
      <c r="N46" s="501"/>
      <c r="O46" s="501"/>
      <c r="P46" s="107" t="s">
        <v>96</v>
      </c>
      <c r="Q46" s="90">
        <f>0.5</f>
        <v>0.5</v>
      </c>
    </row>
    <row r="47" spans="1:17" ht="14" customHeight="1" thickBot="1" x14ac:dyDescent="0.25">
      <c r="B47" s="63"/>
      <c r="C47" s="75"/>
      <c r="D47" s="26"/>
      <c r="E47" s="496" t="s">
        <v>71</v>
      </c>
      <c r="F47" s="97">
        <f>F48-T27</f>
        <v>8.0165029999999984E-2</v>
      </c>
      <c r="G47" s="221">
        <f t="dataTable" ref="G47:K51" dt2D="1" dtr="1" r1="C49" r2="C78"/>
        <v>60.334542123430104</v>
      </c>
      <c r="H47" s="221">
        <v>64.608087201942723</v>
      </c>
      <c r="I47" s="221">
        <v>68.881632280455335</v>
      </c>
      <c r="J47" s="221">
        <v>73.155177358967975</v>
      </c>
      <c r="K47" s="222">
        <v>77.428722437480587</v>
      </c>
      <c r="L47" s="9"/>
      <c r="M47" s="143"/>
      <c r="N47" s="204"/>
      <c r="O47" s="204"/>
    </row>
    <row r="48" spans="1:17" ht="14" customHeight="1" thickBot="1" x14ac:dyDescent="0.25">
      <c r="B48" s="63" t="s">
        <v>283</v>
      </c>
      <c r="C48" s="350">
        <f>H10</f>
        <v>2241056.0698791887</v>
      </c>
      <c r="D48" s="26"/>
      <c r="E48" s="497"/>
      <c r="F48" s="97">
        <f>F49-T27</f>
        <v>8.5165029999999989E-2</v>
      </c>
      <c r="G48" s="223">
        <v>58.938822191053212</v>
      </c>
      <c r="H48" s="224">
        <v>63.114816563553084</v>
      </c>
      <c r="I48" s="225">
        <v>67.290810936052949</v>
      </c>
      <c r="J48" s="226">
        <v>71.466805308552821</v>
      </c>
      <c r="K48" s="227">
        <v>75.642799681052693</v>
      </c>
      <c r="L48" s="9"/>
      <c r="M48" s="210"/>
      <c r="N48" s="315"/>
      <c r="O48" s="315"/>
    </row>
    <row r="49" spans="1:15" ht="14" customHeight="1" thickBot="1" x14ac:dyDescent="0.25">
      <c r="B49" s="80" t="s">
        <v>62</v>
      </c>
      <c r="C49" s="114">
        <v>7</v>
      </c>
      <c r="D49" s="32"/>
      <c r="E49" s="497"/>
      <c r="F49" s="97">
        <v>9.0165029999999993E-2</v>
      </c>
      <c r="G49" s="223">
        <v>57.581669179450209</v>
      </c>
      <c r="H49" s="228">
        <v>61.662772790685736</v>
      </c>
      <c r="I49" s="229">
        <v>65.74387640192127</v>
      </c>
      <c r="J49" s="230">
        <v>69.824980013156818</v>
      </c>
      <c r="K49" s="227">
        <v>73.906083624392338</v>
      </c>
      <c r="M49" s="143"/>
      <c r="N49" s="143"/>
      <c r="O49" s="143"/>
    </row>
    <row r="50" spans="1:15" ht="14" customHeight="1" thickBot="1" x14ac:dyDescent="0.25">
      <c r="B50" s="74" t="s">
        <v>57</v>
      </c>
      <c r="C50" s="350">
        <f>C48*C49</f>
        <v>15687392.48915432</v>
      </c>
      <c r="E50" s="497"/>
      <c r="F50" s="98">
        <f>F49+T27</f>
        <v>9.5165029999999998E-2</v>
      </c>
      <c r="G50" s="223">
        <v>56.26184431044576</v>
      </c>
      <c r="H50" s="231">
        <v>60.25063287077451</v>
      </c>
      <c r="I50" s="232">
        <v>64.239421431103281</v>
      </c>
      <c r="J50" s="233">
        <v>68.228209991432038</v>
      </c>
      <c r="K50" s="227">
        <v>72.216998551760796</v>
      </c>
      <c r="M50" s="143"/>
      <c r="N50" s="143"/>
      <c r="O50" s="143"/>
    </row>
    <row r="51" spans="1:15" ht="14" customHeight="1" thickBot="1" x14ac:dyDescent="0.25">
      <c r="B51" s="63" t="s">
        <v>58</v>
      </c>
      <c r="C51" s="113">
        <v>5</v>
      </c>
      <c r="E51" s="498"/>
      <c r="F51" s="99">
        <f>F50+T27</f>
        <v>0.10016503</v>
      </c>
      <c r="G51" s="234">
        <v>54.97815409433673</v>
      </c>
      <c r="H51" s="235">
        <v>58.877122114559647</v>
      </c>
      <c r="I51" s="235">
        <v>62.776090134782557</v>
      </c>
      <c r="J51" s="235">
        <v>66.675058155005487</v>
      </c>
      <c r="K51" s="236">
        <v>70.574026175228397</v>
      </c>
      <c r="M51" s="208"/>
      <c r="N51" s="208"/>
      <c r="O51" s="208"/>
    </row>
    <row r="52" spans="1:15" ht="14" customHeight="1" x14ac:dyDescent="0.2">
      <c r="B52" s="79" t="s">
        <v>59</v>
      </c>
      <c r="C52" s="349">
        <f>C50/(1+C78)^C51</f>
        <v>10188013.811989695</v>
      </c>
      <c r="M52" s="208"/>
      <c r="N52" s="208"/>
      <c r="O52" s="143"/>
    </row>
    <row r="53" spans="1:15" ht="14" customHeight="1" x14ac:dyDescent="0.2">
      <c r="B53" s="74"/>
      <c r="C53" s="76"/>
      <c r="M53" s="143"/>
      <c r="N53" s="143"/>
      <c r="O53" s="143"/>
    </row>
    <row r="54" spans="1:15" ht="14" customHeight="1" x14ac:dyDescent="0.2">
      <c r="B54" s="79" t="s">
        <v>60</v>
      </c>
      <c r="C54" s="349">
        <f>SUM(C52+C46)</f>
        <v>11743011.09444336</v>
      </c>
      <c r="M54" s="143"/>
      <c r="N54" s="143"/>
      <c r="O54" s="143"/>
    </row>
    <row r="55" spans="1:15" ht="14" customHeight="1" x14ac:dyDescent="0.2">
      <c r="B55" s="215" t="s">
        <v>149</v>
      </c>
      <c r="C55" s="351">
        <f>C65*1000</f>
        <v>20000</v>
      </c>
    </row>
    <row r="56" spans="1:15" ht="14" customHeight="1" x14ac:dyDescent="0.2">
      <c r="B56" s="79" t="s">
        <v>46</v>
      </c>
      <c r="C56" s="349">
        <f>C54-C55</f>
        <v>11723011.09444336</v>
      </c>
    </row>
    <row r="57" spans="1:15" ht="14" customHeight="1" x14ac:dyDescent="0.2">
      <c r="B57" s="217"/>
      <c r="C57" s="216"/>
    </row>
    <row r="58" spans="1:15" ht="14" customHeight="1" x14ac:dyDescent="0.2">
      <c r="B58" s="79" t="s">
        <v>141</v>
      </c>
      <c r="C58" s="218">
        <f>C38</f>
        <v>188923</v>
      </c>
    </row>
    <row r="59" spans="1:15" ht="14" customHeight="1" x14ac:dyDescent="0.2">
      <c r="B59" s="217"/>
      <c r="C59" s="216"/>
    </row>
    <row r="60" spans="1:15" ht="14" customHeight="1" x14ac:dyDescent="0.2">
      <c r="B60" s="217" t="s">
        <v>150</v>
      </c>
      <c r="C60" s="353">
        <f>C56/C58</f>
        <v>62.051794087767824</v>
      </c>
    </row>
    <row r="61" spans="1:15" ht="14" customHeight="1" x14ac:dyDescent="0.2">
      <c r="B61" s="79" t="s">
        <v>284</v>
      </c>
      <c r="C61" s="354">
        <f>C41</f>
        <v>1.0595000000000001</v>
      </c>
    </row>
    <row r="62" spans="1:15" ht="14" customHeight="1" thickBot="1" x14ac:dyDescent="0.25">
      <c r="A62" s="1" t="s">
        <v>12</v>
      </c>
      <c r="B62" s="81" t="s">
        <v>150</v>
      </c>
      <c r="C62" s="352">
        <f>C60*C61</f>
        <v>65.743875835990011</v>
      </c>
    </row>
    <row r="63" spans="1:15" ht="14" customHeight="1" thickBot="1" x14ac:dyDescent="0.25">
      <c r="B63" s="77"/>
      <c r="C63" s="78"/>
    </row>
    <row r="64" spans="1:15" ht="14" customHeight="1" thickBot="1" x14ac:dyDescent="0.25">
      <c r="A64" s="1" t="s">
        <v>12</v>
      </c>
      <c r="B64" s="490" t="s">
        <v>63</v>
      </c>
      <c r="C64" s="491"/>
    </row>
    <row r="65" spans="1:3" ht="14" customHeight="1" x14ac:dyDescent="0.2">
      <c r="B65" s="320" t="s">
        <v>64</v>
      </c>
      <c r="C65" s="359">
        <v>20</v>
      </c>
    </row>
    <row r="66" spans="1:3" ht="14" customHeight="1" x14ac:dyDescent="0.2">
      <c r="B66" s="331" t="s">
        <v>77</v>
      </c>
      <c r="C66" s="357">
        <v>80</v>
      </c>
    </row>
    <row r="67" spans="1:3" ht="14" customHeight="1" x14ac:dyDescent="0.2">
      <c r="B67" s="322" t="s">
        <v>65</v>
      </c>
      <c r="C67" s="358">
        <f>SUM(C65:C66)</f>
        <v>100</v>
      </c>
    </row>
    <row r="68" spans="1:3" ht="14" customHeight="1" x14ac:dyDescent="0.2">
      <c r="B68" s="324"/>
      <c r="C68" s="323"/>
    </row>
    <row r="69" spans="1:3" ht="14" customHeight="1" x14ac:dyDescent="0.2">
      <c r="B69" s="320" t="s">
        <v>66</v>
      </c>
      <c r="C69" s="344">
        <v>1.0449999999999999</v>
      </c>
    </row>
    <row r="70" spans="1:3" ht="14" customHeight="1" x14ac:dyDescent="0.2">
      <c r="B70" s="320" t="s">
        <v>73</v>
      </c>
      <c r="C70" s="346">
        <v>8.1500000000000003E-2</v>
      </c>
    </row>
    <row r="71" spans="1:3" ht="14" customHeight="1" x14ac:dyDescent="0.2">
      <c r="B71" s="331" t="s">
        <v>68</v>
      </c>
      <c r="C71" s="345">
        <v>2.384E-2</v>
      </c>
    </row>
    <row r="72" spans="1:3" ht="14" customHeight="1" x14ac:dyDescent="0.2">
      <c r="B72" s="325" t="s">
        <v>69</v>
      </c>
      <c r="C72" s="326">
        <f>C71+(C70)*C69</f>
        <v>0.10900749999999999</v>
      </c>
    </row>
    <row r="73" spans="1:3" ht="14" customHeight="1" x14ac:dyDescent="0.2">
      <c r="B73" s="327"/>
      <c r="C73" s="328"/>
    </row>
    <row r="74" spans="1:3" ht="14" customHeight="1" x14ac:dyDescent="0.2">
      <c r="B74" s="329" t="s">
        <v>75</v>
      </c>
      <c r="C74" s="347">
        <v>2.1000000000000001E-2</v>
      </c>
    </row>
    <row r="75" spans="1:3" ht="14" customHeight="1" x14ac:dyDescent="0.2">
      <c r="B75" s="333" t="s">
        <v>16</v>
      </c>
      <c r="C75" s="348">
        <f>'Income Statement'!M47</f>
        <v>0.29546860596489311</v>
      </c>
    </row>
    <row r="76" spans="1:3" ht="14" customHeight="1" x14ac:dyDescent="0.2">
      <c r="B76" s="325" t="s">
        <v>70</v>
      </c>
      <c r="C76" s="326">
        <f>C74*(1-C75)</f>
        <v>1.4795159274737246E-2</v>
      </c>
    </row>
    <row r="77" spans="1:3" ht="14" customHeight="1" x14ac:dyDescent="0.2">
      <c r="B77" s="329"/>
      <c r="C77" s="330"/>
    </row>
    <row r="78" spans="1:3" ht="14" customHeight="1" thickBot="1" x14ac:dyDescent="0.25">
      <c r="A78" s="1" t="s">
        <v>12</v>
      </c>
      <c r="B78" s="84" t="s">
        <v>71</v>
      </c>
      <c r="C78" s="214">
        <f>((C65*C76)+(C66*C72))/C67</f>
        <v>9.0165031854947453E-2</v>
      </c>
    </row>
    <row r="80" spans="1:3" ht="14" customHeight="1" x14ac:dyDescent="0.2">
      <c r="A80" s="1" t="s">
        <v>12</v>
      </c>
      <c r="B80" s="9" t="s">
        <v>74</v>
      </c>
    </row>
    <row r="81" spans="2:7" ht="14" customHeight="1" x14ac:dyDescent="0.2">
      <c r="B81" s="1" t="s">
        <v>92</v>
      </c>
      <c r="C81" s="93"/>
    </row>
    <row r="82" spans="2:7" ht="14" customHeight="1" x14ac:dyDescent="0.2">
      <c r="B82" s="1" t="s">
        <v>285</v>
      </c>
      <c r="C82" s="93"/>
      <c r="D82" s="355">
        <f>'Income Statement'!M20+-'Fixed Asset'!E11</f>
        <v>842799</v>
      </c>
    </row>
    <row r="83" spans="2:7" ht="14" customHeight="1" x14ac:dyDescent="0.2">
      <c r="B83" s="1" t="s">
        <v>141</v>
      </c>
      <c r="C83" s="93"/>
      <c r="D83" s="356">
        <f>'Income Statement'!M32</f>
        <v>188923</v>
      </c>
    </row>
    <row r="84" spans="2:7" ht="14" customHeight="1" x14ac:dyDescent="0.2">
      <c r="B84" s="1" t="s">
        <v>287</v>
      </c>
      <c r="C84" s="93"/>
      <c r="D84" s="1">
        <v>67.75</v>
      </c>
    </row>
    <row r="85" spans="2:7" ht="14" customHeight="1" x14ac:dyDescent="0.2">
      <c r="C85" s="93"/>
    </row>
    <row r="86" spans="2:7" ht="14" customHeight="1" x14ac:dyDescent="0.2">
      <c r="C86" s="93"/>
    </row>
    <row r="87" spans="2:7" ht="14" customHeight="1" x14ac:dyDescent="0.2">
      <c r="C87" s="93"/>
    </row>
    <row r="88" spans="2:7" ht="14" customHeight="1" x14ac:dyDescent="0.2">
      <c r="C88" s="93"/>
    </row>
    <row r="89" spans="2:7" ht="14" customHeight="1" x14ac:dyDescent="0.2">
      <c r="C89" s="93"/>
    </row>
    <row r="90" spans="2:7" ht="14" customHeight="1" x14ac:dyDescent="0.2">
      <c r="C90" s="93"/>
    </row>
    <row r="91" spans="2:7" ht="14" customHeight="1" x14ac:dyDescent="0.2">
      <c r="C91" s="93"/>
    </row>
    <row r="92" spans="2:7" ht="14" customHeight="1" x14ac:dyDescent="0.2">
      <c r="C92" s="93"/>
    </row>
    <row r="93" spans="2:7" ht="14" customHeight="1" x14ac:dyDescent="0.2">
      <c r="C93" s="93"/>
    </row>
    <row r="94" spans="2:7" ht="14" customHeight="1" x14ac:dyDescent="0.2">
      <c r="B94" s="9"/>
    </row>
    <row r="95" spans="2:7" ht="14" customHeight="1" x14ac:dyDescent="0.2">
      <c r="B95" s="1" t="s">
        <v>85</v>
      </c>
      <c r="C95" s="318" t="s">
        <v>78</v>
      </c>
      <c r="D95" s="318" t="s">
        <v>81</v>
      </c>
      <c r="E95" s="318" t="s">
        <v>79</v>
      </c>
      <c r="F95" s="318" t="s">
        <v>80</v>
      </c>
      <c r="G95" s="318" t="s">
        <v>84</v>
      </c>
    </row>
    <row r="96" spans="2:7" ht="14" customHeight="1" x14ac:dyDescent="0.2">
      <c r="B96" s="1" t="s">
        <v>86</v>
      </c>
      <c r="C96" s="86">
        <v>0.12928999999999999</v>
      </c>
      <c r="D96" s="86">
        <v>4.8439000000000003E-2</v>
      </c>
      <c r="E96" s="86">
        <v>8.8347999999999996E-2</v>
      </c>
      <c r="F96" s="86">
        <v>0.13877</v>
      </c>
      <c r="G96" s="82">
        <f>(C96*0.6)+(D96*0.25)+(E96*0.1)+(F96*0.05)</f>
        <v>0.10545705</v>
      </c>
    </row>
    <row r="97" spans="2:7" ht="14" customHeight="1" x14ac:dyDescent="0.2">
      <c r="B97" s="1" t="s">
        <v>82</v>
      </c>
      <c r="C97" s="86">
        <v>4.2688999999999998E-2</v>
      </c>
      <c r="D97" s="86">
        <v>2.8835E-2</v>
      </c>
      <c r="E97" s="86">
        <v>5.2367999999999998E-2</v>
      </c>
      <c r="F97" s="86">
        <v>0.14191799999999999</v>
      </c>
      <c r="G97" s="82">
        <f>(C97*0.6)+(D97*0.25)+(E97*0.1)+(F97*0.05)</f>
        <v>4.5154849999999996E-2</v>
      </c>
    </row>
    <row r="98" spans="2:7" ht="14" customHeight="1" x14ac:dyDescent="0.2">
      <c r="B98" s="1" t="s">
        <v>83</v>
      </c>
      <c r="C98" s="86">
        <v>8.6757000000000001E-2</v>
      </c>
      <c r="D98" s="86">
        <v>7.7480999999999994E-2</v>
      </c>
      <c r="E98" s="86">
        <v>9.2162999999999995E-2</v>
      </c>
      <c r="F98" s="86">
        <v>0.137493</v>
      </c>
      <c r="G98" s="82">
        <f>(C98*0.6)+(D98*0.25)+(E98*0.1)+(F98*0.05)</f>
        <v>8.7515399999999993E-2</v>
      </c>
    </row>
    <row r="99" spans="2:7" ht="14" customHeight="1" x14ac:dyDescent="0.2">
      <c r="B99" s="1" t="s">
        <v>87</v>
      </c>
      <c r="C99" s="86">
        <v>0.10647</v>
      </c>
      <c r="D99" s="86">
        <v>-9.7909999999999994E-3</v>
      </c>
      <c r="E99" s="86">
        <v>2.2037000000000001E-2</v>
      </c>
      <c r="F99" s="86">
        <v>6.1048999999999999E-2</v>
      </c>
      <c r="G99" s="82">
        <f>(C99*0.6)+(D99*0.25)+(E99*0.1)+(F99*0.05)</f>
        <v>6.6690399999999997E-2</v>
      </c>
    </row>
    <row r="100" spans="2:7" ht="14" customHeight="1" x14ac:dyDescent="0.2">
      <c r="B100" s="1" t="s">
        <v>88</v>
      </c>
      <c r="C100" s="86">
        <v>-8.2161999999999999E-2</v>
      </c>
      <c r="D100" s="86">
        <v>0.30473</v>
      </c>
      <c r="E100" s="86">
        <v>0.11368</v>
      </c>
      <c r="F100" s="86">
        <v>4.9502999999999998E-2</v>
      </c>
      <c r="G100" s="86">
        <f>(C100*0.6)+(D100*0.25)+(E100*0.1)+(F100*0.05)</f>
        <v>4.0728450000000006E-2</v>
      </c>
    </row>
    <row r="101" spans="2:7" ht="14" customHeight="1" x14ac:dyDescent="0.2">
      <c r="B101" s="9" t="s">
        <v>67</v>
      </c>
      <c r="C101" s="88">
        <f>(G96*0.5)+(G97*0.1)+(G98*0.15)+(G99*0.2)+(G100*0.05)</f>
        <v>8.5745822499999999E-2</v>
      </c>
      <c r="D101" s="86"/>
      <c r="E101" s="86"/>
      <c r="F101" s="86"/>
    </row>
    <row r="103" spans="2:7" ht="14" customHeight="1" x14ac:dyDescent="0.2">
      <c r="B103" s="9" t="s">
        <v>91</v>
      </c>
      <c r="C103" s="82" t="s">
        <v>92</v>
      </c>
      <c r="D103" s="1" t="s">
        <v>93</v>
      </c>
      <c r="E103" s="1" t="s">
        <v>94</v>
      </c>
    </row>
    <row r="104" spans="2:7" ht="14" customHeight="1" x14ac:dyDescent="0.2">
      <c r="B104" s="26" t="s">
        <v>38</v>
      </c>
      <c r="C104" s="85">
        <v>1505</v>
      </c>
      <c r="D104" s="64">
        <v>8930.2731578300009</v>
      </c>
      <c r="E104" s="65"/>
    </row>
    <row r="105" spans="2:7" ht="14" customHeight="1" x14ac:dyDescent="0.2">
      <c r="B105" s="40" t="s">
        <v>39</v>
      </c>
      <c r="C105" s="85">
        <v>9274.7049999999999</v>
      </c>
      <c r="D105" s="64">
        <v>71153.563048919998</v>
      </c>
      <c r="E105" s="65"/>
    </row>
    <row r="106" spans="2:7" ht="14" customHeight="1" x14ac:dyDescent="0.2">
      <c r="B106" s="40" t="s">
        <v>40</v>
      </c>
      <c r="C106" s="85">
        <v>5250.7539999999999</v>
      </c>
      <c r="D106" s="64">
        <v>18106.1186304</v>
      </c>
      <c r="E106" s="65"/>
    </row>
    <row r="107" spans="2:7" ht="14" customHeight="1" x14ac:dyDescent="0.2">
      <c r="B107" s="40" t="s">
        <v>41</v>
      </c>
      <c r="C107" s="85">
        <v>19.690000000000001</v>
      </c>
      <c r="D107" s="64">
        <v>165.45272119999998</v>
      </c>
      <c r="E107" s="65">
        <f t="shared" ref="E107:E112" si="5">D107/C107</f>
        <v>8.4028807110208206</v>
      </c>
    </row>
    <row r="108" spans="2:7" ht="14" customHeight="1" x14ac:dyDescent="0.2">
      <c r="B108" s="26" t="s">
        <v>43</v>
      </c>
      <c r="C108" s="85">
        <v>112.86750000000001</v>
      </c>
      <c r="D108" s="64">
        <v>888.58531498204695</v>
      </c>
      <c r="E108" s="65">
        <f t="shared" si="5"/>
        <v>7.8728182601904617</v>
      </c>
    </row>
    <row r="109" spans="2:7" ht="14" customHeight="1" x14ac:dyDescent="0.2">
      <c r="B109" s="26" t="s">
        <v>44</v>
      </c>
      <c r="C109" s="85">
        <v>1196.1297</v>
      </c>
      <c r="D109" s="64">
        <v>894.43591214157038</v>
      </c>
      <c r="E109" s="65">
        <f t="shared" si="5"/>
        <v>0.74777502150608788</v>
      </c>
    </row>
    <row r="110" spans="2:7" ht="14" customHeight="1" x14ac:dyDescent="0.2">
      <c r="B110" s="26" t="s">
        <v>45</v>
      </c>
      <c r="C110" s="85">
        <v>219.9025</v>
      </c>
      <c r="D110" s="64">
        <v>1855.5652110906613</v>
      </c>
      <c r="E110" s="65">
        <f t="shared" si="5"/>
        <v>8.4381269475820471</v>
      </c>
    </row>
    <row r="111" spans="2:7" ht="14" customHeight="1" x14ac:dyDescent="0.2">
      <c r="B111" s="26" t="s">
        <v>53</v>
      </c>
      <c r="C111" s="85">
        <v>287.55930000000001</v>
      </c>
      <c r="D111" s="64">
        <v>3809.4109769230772</v>
      </c>
      <c r="E111" s="65">
        <f t="shared" si="5"/>
        <v>13.247392718382182</v>
      </c>
    </row>
    <row r="112" spans="2:7" ht="14" customHeight="1" x14ac:dyDescent="0.2">
      <c r="B112" s="26" t="s">
        <v>42</v>
      </c>
      <c r="C112" s="85">
        <v>323.51900000000001</v>
      </c>
      <c r="D112" s="66">
        <v>2345.7698774999999</v>
      </c>
      <c r="E112" s="65">
        <f t="shared" si="5"/>
        <v>7.2507947833048441</v>
      </c>
    </row>
    <row r="113" spans="2:5" ht="14" customHeight="1" x14ac:dyDescent="0.2">
      <c r="B113" s="9" t="s">
        <v>95</v>
      </c>
      <c r="E113" s="91">
        <f>AVERAGE(E104:E112)</f>
        <v>7.6599647403310742</v>
      </c>
    </row>
    <row r="114" spans="2:5" ht="14" customHeight="1" x14ac:dyDescent="0.2">
      <c r="B114" s="9" t="s">
        <v>49</v>
      </c>
      <c r="E114" s="91">
        <f>_xlfn.QUARTILE.EXC(E104:E112,2)</f>
        <v>8.137849485605642</v>
      </c>
    </row>
    <row r="115" spans="2:5" ht="14" customHeight="1" x14ac:dyDescent="0.2">
      <c r="B115" s="9" t="s">
        <v>94</v>
      </c>
      <c r="E115" s="92">
        <f>AVERAGE(E113:E114)</f>
        <v>7.8989071129683577</v>
      </c>
    </row>
  </sheetData>
  <mergeCells count="15">
    <mergeCell ref="E47:E51"/>
    <mergeCell ref="B64:C64"/>
    <mergeCell ref="E27:E31"/>
    <mergeCell ref="N27:O27"/>
    <mergeCell ref="B44:C44"/>
    <mergeCell ref="F44:K44"/>
    <mergeCell ref="E45:E46"/>
    <mergeCell ref="F45:K45"/>
    <mergeCell ref="N46:O46"/>
    <mergeCell ref="D1:F1"/>
    <mergeCell ref="C6:H6"/>
    <mergeCell ref="N7:Q19"/>
    <mergeCell ref="B24:C24"/>
    <mergeCell ref="E25:E26"/>
    <mergeCell ref="F25:K25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5"/>
  <sheetViews>
    <sheetView showGridLines="0" topLeftCell="A7" zoomScale="89" zoomScaleNormal="66" zoomScalePageLayoutView="66" workbookViewId="0">
      <selection activeCell="D22" sqref="D22"/>
    </sheetView>
  </sheetViews>
  <sheetFormatPr baseColWidth="10" defaultColWidth="8.5" defaultRowHeight="14" customHeight="1" x14ac:dyDescent="0.2"/>
  <cols>
    <col min="1" max="1" width="1.5" style="1" customWidth="1"/>
    <col min="2" max="2" width="40.5" style="1" customWidth="1"/>
    <col min="3" max="3" width="14.5" style="1" customWidth="1"/>
    <col min="4" max="7" width="10.5" style="1" customWidth="1"/>
    <col min="8" max="9" width="9.83203125" style="1" customWidth="1"/>
    <col min="10" max="12" width="8.5" style="1"/>
    <col min="13" max="13" width="28.83203125" style="1" customWidth="1"/>
    <col min="14" max="15" width="9.1640625" style="1" customWidth="1"/>
    <col min="16" max="16384" width="8.5" style="1"/>
  </cols>
  <sheetData>
    <row r="1" spans="1:17" ht="21" x14ac:dyDescent="0.3">
      <c r="B1" s="8" t="s">
        <v>188</v>
      </c>
      <c r="D1" s="476" t="s">
        <v>126</v>
      </c>
      <c r="E1" s="477"/>
      <c r="F1" s="478"/>
    </row>
    <row r="2" spans="1:17" ht="14" customHeight="1" x14ac:dyDescent="0.2">
      <c r="B2" s="1" t="s">
        <v>163</v>
      </c>
      <c r="D2" s="136" t="s">
        <v>123</v>
      </c>
      <c r="E2" s="137" t="s">
        <v>124</v>
      </c>
      <c r="F2" s="138" t="s">
        <v>125</v>
      </c>
      <c r="H2" s="139" t="s">
        <v>130</v>
      </c>
    </row>
    <row r="4" spans="1:17" ht="14" customHeight="1" x14ac:dyDescent="0.2">
      <c r="B4" s="9" t="s">
        <v>162</v>
      </c>
    </row>
    <row r="5" spans="1:17" ht="14" customHeight="1" x14ac:dyDescent="0.2">
      <c r="B5" s="10" t="s">
        <v>172</v>
      </c>
    </row>
    <row r="6" spans="1:17" ht="14" customHeight="1" x14ac:dyDescent="0.2">
      <c r="B6" s="40"/>
      <c r="C6" s="488" t="s">
        <v>281</v>
      </c>
      <c r="D6" s="488"/>
      <c r="E6" s="488"/>
      <c r="F6" s="488"/>
      <c r="G6" s="488"/>
      <c r="H6" s="488"/>
    </row>
    <row r="7" spans="1:17" ht="14" customHeight="1" x14ac:dyDescent="0.2">
      <c r="B7" s="40"/>
      <c r="C7" s="12">
        <v>2018</v>
      </c>
      <c r="D7" s="12">
        <v>2019</v>
      </c>
      <c r="E7" s="12">
        <v>2020</v>
      </c>
      <c r="F7" s="56">
        <v>2021</v>
      </c>
      <c r="G7" s="56">
        <v>2022</v>
      </c>
      <c r="H7" s="56">
        <v>2023</v>
      </c>
      <c r="N7" s="489" t="s">
        <v>286</v>
      </c>
      <c r="O7" s="489"/>
      <c r="P7" s="489"/>
      <c r="Q7" s="489"/>
    </row>
    <row r="8" spans="1:17" ht="14" hidden="1" customHeight="1" x14ac:dyDescent="0.2">
      <c r="B8" s="40" t="s">
        <v>76</v>
      </c>
      <c r="C8" s="83">
        <v>3</v>
      </c>
      <c r="D8" s="83">
        <v>4</v>
      </c>
      <c r="E8" s="83">
        <v>5</v>
      </c>
      <c r="F8" s="83">
        <v>6</v>
      </c>
      <c r="G8" s="83">
        <v>6</v>
      </c>
      <c r="H8" s="83">
        <v>6</v>
      </c>
      <c r="N8" s="489"/>
      <c r="O8" s="489"/>
      <c r="P8" s="489"/>
      <c r="Q8" s="489"/>
    </row>
    <row r="9" spans="1:17" ht="14" hidden="1" customHeight="1" x14ac:dyDescent="0.2">
      <c r="B9" s="40"/>
      <c r="C9" s="40"/>
      <c r="D9" s="40"/>
      <c r="E9" s="40"/>
      <c r="F9" s="40"/>
      <c r="G9" s="40"/>
      <c r="H9" s="40"/>
      <c r="N9" s="489"/>
      <c r="O9" s="489"/>
      <c r="P9" s="489"/>
      <c r="Q9" s="489"/>
    </row>
    <row r="10" spans="1:17" s="9" customFormat="1" ht="14" customHeight="1" x14ac:dyDescent="0.2">
      <c r="B10" s="45" t="s">
        <v>4</v>
      </c>
      <c r="C10" s="389">
        <f t="shared" ref="C10:H10" si="0">C12-C11</f>
        <v>989741.2598819983</v>
      </c>
      <c r="D10" s="389">
        <f t="shared" si="0"/>
        <v>1077594.0842693986</v>
      </c>
      <c r="E10" s="389">
        <f t="shared" si="0"/>
        <v>1219437.5085691113</v>
      </c>
      <c r="F10" s="389">
        <f t="shared" si="0"/>
        <v>1434994.14332232</v>
      </c>
      <c r="G10" s="389">
        <f t="shared" si="0"/>
        <v>1757837.7117304928</v>
      </c>
      <c r="H10" s="389">
        <f t="shared" si="0"/>
        <v>2241056.0698791887</v>
      </c>
      <c r="N10" s="489"/>
      <c r="O10" s="489"/>
      <c r="P10" s="489"/>
      <c r="Q10" s="489"/>
    </row>
    <row r="11" spans="1:17" ht="14" customHeight="1" x14ac:dyDescent="0.2">
      <c r="B11" s="312" t="s">
        <v>31</v>
      </c>
      <c r="C11" s="314">
        <f>'Fixed Asset'!G11</f>
        <v>-236070.06957874852</v>
      </c>
      <c r="D11" s="314">
        <f>'Fixed Asset'!H11</f>
        <v>-221366.16193745364</v>
      </c>
      <c r="E11" s="314">
        <f>'Fixed Asset'!I11</f>
        <v>-219853.4812705848</v>
      </c>
      <c r="F11" s="314">
        <f>'Fixed Asset'!J11</f>
        <v>-229351.09664395612</v>
      </c>
      <c r="G11" s="314">
        <f>'Fixed Asset'!K11</f>
        <v>-250024.8948124726</v>
      </c>
      <c r="H11" s="314">
        <f>'Fixed Asset'!L11</f>
        <v>-284073.4120385985</v>
      </c>
      <c r="N11" s="489"/>
      <c r="O11" s="489"/>
      <c r="P11" s="489"/>
      <c r="Q11" s="489"/>
    </row>
    <row r="12" spans="1:17" s="9" customFormat="1" ht="14" customHeight="1" x14ac:dyDescent="0.2">
      <c r="A12" s="9" t="s">
        <v>12</v>
      </c>
      <c r="B12" s="45" t="s">
        <v>5</v>
      </c>
      <c r="C12" s="193">
        <f>'Income Statement'!S20</f>
        <v>753671.19030324975</v>
      </c>
      <c r="D12" s="193">
        <f>'Income Statement'!T20</f>
        <v>856227.92233194504</v>
      </c>
      <c r="E12" s="193">
        <f>'Income Statement'!U20</f>
        <v>999584.02729852661</v>
      </c>
      <c r="F12" s="193">
        <f>'Income Statement'!V20</f>
        <v>1205643.0466783638</v>
      </c>
      <c r="G12" s="193">
        <f>'Income Statement'!W20</f>
        <v>1507812.8169180201</v>
      </c>
      <c r="H12" s="193">
        <f>'Income Statement'!X20</f>
        <v>1956982.65784059</v>
      </c>
      <c r="N12" s="489"/>
      <c r="O12" s="489"/>
      <c r="P12" s="489"/>
      <c r="Q12" s="489"/>
    </row>
    <row r="13" spans="1:17" s="9" customFormat="1" ht="14" customHeight="1" x14ac:dyDescent="0.2">
      <c r="B13" s="312" t="s">
        <v>14</v>
      </c>
      <c r="C13" s="314">
        <f>'Income Statement'!S23</f>
        <v>-200360.04452369694</v>
      </c>
      <c r="D13" s="314">
        <f>'Income Statement'!T23</f>
        <v>-228665.70256361685</v>
      </c>
      <c r="E13" s="314">
        <f>'Income Statement'!U23</f>
        <v>-268231.98753439338</v>
      </c>
      <c r="F13" s="314">
        <f>'Income Statement'!V23</f>
        <v>-325104.27688322845</v>
      </c>
      <c r="G13" s="314">
        <f>'Income Statement'!W23</f>
        <v>-408503.13346937357</v>
      </c>
      <c r="H13" s="314">
        <f>'Income Statement'!X23</f>
        <v>-532474.00956400286</v>
      </c>
      <c r="N13" s="489"/>
      <c r="O13" s="489"/>
      <c r="P13" s="489"/>
      <c r="Q13" s="489"/>
    </row>
    <row r="14" spans="1:17" s="9" customFormat="1" ht="14" customHeight="1" x14ac:dyDescent="0.2">
      <c r="B14" s="45" t="s">
        <v>15</v>
      </c>
      <c r="C14" s="213">
        <f t="shared" ref="C14:H14" si="1">C12+C13</f>
        <v>553311.14577955287</v>
      </c>
      <c r="D14" s="213">
        <f t="shared" si="1"/>
        <v>627562.21976832813</v>
      </c>
      <c r="E14" s="213">
        <f t="shared" si="1"/>
        <v>731352.03976413328</v>
      </c>
      <c r="F14" s="213">
        <f t="shared" si="1"/>
        <v>880538.76979513536</v>
      </c>
      <c r="G14" s="213">
        <f t="shared" si="1"/>
        <v>1099309.6834486467</v>
      </c>
      <c r="H14" s="213">
        <f t="shared" si="1"/>
        <v>1424508.648276587</v>
      </c>
      <c r="N14" s="489"/>
      <c r="O14" s="489"/>
      <c r="P14" s="489"/>
      <c r="Q14" s="489"/>
    </row>
    <row r="15" spans="1:17" ht="14" customHeight="1" x14ac:dyDescent="0.2">
      <c r="B15" s="313" t="s">
        <v>32</v>
      </c>
      <c r="C15" s="61">
        <f t="shared" ref="C15:H15" si="2">-C11</f>
        <v>236070.06957874852</v>
      </c>
      <c r="D15" s="61">
        <f t="shared" si="2"/>
        <v>221366.16193745364</v>
      </c>
      <c r="E15" s="61">
        <f t="shared" si="2"/>
        <v>219853.4812705848</v>
      </c>
      <c r="F15" s="61">
        <f t="shared" si="2"/>
        <v>229351.09664395612</v>
      </c>
      <c r="G15" s="61">
        <f t="shared" si="2"/>
        <v>250024.8948124726</v>
      </c>
      <c r="H15" s="61">
        <f t="shared" si="2"/>
        <v>284073.4120385985</v>
      </c>
      <c r="N15" s="489"/>
      <c r="O15" s="489"/>
      <c r="P15" s="489"/>
      <c r="Q15" s="489"/>
    </row>
    <row r="16" spans="1:17" s="9" customFormat="1" ht="14" customHeight="1" x14ac:dyDescent="0.2">
      <c r="B16" s="313" t="s">
        <v>33</v>
      </c>
      <c r="C16" s="319">
        <f>-'Fixed Asset'!G10</f>
        <v>-198904.4423047062</v>
      </c>
      <c r="D16" s="319">
        <f>-'Fixed Asset'!H10</f>
        <v>-217542.70716468239</v>
      </c>
      <c r="E16" s="319">
        <f>-'Fixed Asset'!I10</f>
        <v>-243859.67347269037</v>
      </c>
      <c r="F16" s="319">
        <f>-'Fixed Asset'!J10</f>
        <v>-281606.23152470012</v>
      </c>
      <c r="G16" s="319">
        <f>-'Fixed Asset'!K10</f>
        <v>-336085.99716230819</v>
      </c>
      <c r="H16" s="319">
        <f>-'Fixed Asset'!L10</f>
        <v>-414719.01221542881</v>
      </c>
      <c r="N16" s="489"/>
      <c r="O16" s="489"/>
      <c r="P16" s="489"/>
      <c r="Q16" s="489"/>
    </row>
    <row r="17" spans="1:20" ht="14" customHeight="1" x14ac:dyDescent="0.2">
      <c r="B17" s="312" t="s">
        <v>34</v>
      </c>
      <c r="C17" s="314">
        <f>-'Working Cap'!G19</f>
        <v>-136159.10023715114</v>
      </c>
      <c r="D17" s="314">
        <f>-'Working Cap'!H19</f>
        <v>-169433.19243868208</v>
      </c>
      <c r="E17" s="314">
        <f>-'Working Cap'!I19</f>
        <v>-232135.62410968868</v>
      </c>
      <c r="F17" s="314">
        <f>-'Working Cap'!J19</f>
        <v>-343995.40144845843</v>
      </c>
      <c r="G17" s="314">
        <f>-'Working Cap'!K19</f>
        <v>-500091.453416351</v>
      </c>
      <c r="H17" s="314">
        <f>-'Working Cap'!L19</f>
        <v>-748121.83112132689</v>
      </c>
      <c r="N17" s="489"/>
      <c r="O17" s="489"/>
      <c r="P17" s="489"/>
      <c r="Q17" s="489"/>
    </row>
    <row r="18" spans="1:20" s="9" customFormat="1" ht="14" customHeight="1" x14ac:dyDescent="0.2">
      <c r="A18" s="9" t="s">
        <v>12</v>
      </c>
      <c r="B18" s="45" t="s">
        <v>35</v>
      </c>
      <c r="C18" s="389">
        <f t="shared" ref="C18:H18" si="3">SUM(C14:C17)</f>
        <v>454317.67281644407</v>
      </c>
      <c r="D18" s="389">
        <f t="shared" si="3"/>
        <v>461952.48210241739</v>
      </c>
      <c r="E18" s="389">
        <f t="shared" si="3"/>
        <v>475210.22345233895</v>
      </c>
      <c r="F18" s="389">
        <f t="shared" si="3"/>
        <v>484288.23346593301</v>
      </c>
      <c r="G18" s="389">
        <f t="shared" si="3"/>
        <v>513157.12768246012</v>
      </c>
      <c r="H18" s="389">
        <f t="shared" si="3"/>
        <v>545741.21697842982</v>
      </c>
      <c r="N18" s="489"/>
      <c r="O18" s="489"/>
      <c r="P18" s="489"/>
      <c r="Q18" s="489"/>
    </row>
    <row r="19" spans="1:20" ht="14" customHeight="1" thickBot="1" x14ac:dyDescent="0.25">
      <c r="B19" s="46"/>
      <c r="C19" s="51"/>
      <c r="D19" s="40"/>
      <c r="E19" s="40"/>
      <c r="F19" s="40"/>
      <c r="G19" s="40"/>
      <c r="H19" s="40"/>
      <c r="N19" s="489"/>
      <c r="O19" s="489"/>
      <c r="P19" s="489"/>
      <c r="Q19" s="489"/>
    </row>
    <row r="20" spans="1:20" ht="14" customHeight="1" thickBot="1" x14ac:dyDescent="0.25">
      <c r="B20" s="111" t="s">
        <v>55</v>
      </c>
      <c r="C20" s="390">
        <f t="shared" ref="C20:H20" si="4">C18/(1+$C$78)^C8</f>
        <v>358379.03695435706</v>
      </c>
      <c r="D20" s="390">
        <f t="shared" si="4"/>
        <v>336698.56153648492</v>
      </c>
      <c r="E20" s="390">
        <f t="shared" si="4"/>
        <v>320030.02122212364</v>
      </c>
      <c r="F20" s="390">
        <f t="shared" si="4"/>
        <v>301349.06711204653</v>
      </c>
      <c r="G20" s="390">
        <f t="shared" si="4"/>
        <v>319312.77909085253</v>
      </c>
      <c r="H20" s="391">
        <f t="shared" si="4"/>
        <v>339588.2766840164</v>
      </c>
    </row>
    <row r="21" spans="1:20" ht="14" customHeight="1" x14ac:dyDescent="0.2">
      <c r="B21" s="46" t="s">
        <v>148</v>
      </c>
      <c r="C21" s="47"/>
      <c r="D21" s="51"/>
      <c r="E21" s="51"/>
      <c r="F21" s="40"/>
      <c r="G21" s="40"/>
      <c r="I21" s="392">
        <f>SUM(D20:H20)</f>
        <v>1616978.705645524</v>
      </c>
    </row>
    <row r="22" spans="1:20" ht="14" customHeight="1" x14ac:dyDescent="0.2">
      <c r="B22" s="46"/>
      <c r="C22" s="52"/>
      <c r="D22" s="52"/>
      <c r="E22" s="52"/>
      <c r="F22" s="52"/>
      <c r="G22" s="52"/>
      <c r="H22" s="40"/>
    </row>
    <row r="23" spans="1:20" s="9" customFormat="1" ht="14" customHeight="1" thickBot="1" x14ac:dyDescent="0.25">
      <c r="B23" s="49"/>
      <c r="C23" s="42"/>
      <c r="D23" s="50"/>
      <c r="E23" s="50"/>
      <c r="F23" s="45"/>
      <c r="G23" s="45"/>
      <c r="H23" s="45"/>
    </row>
    <row r="24" spans="1:20" s="9" customFormat="1" ht="14" customHeight="1" thickBot="1" x14ac:dyDescent="0.25">
      <c r="A24" s="9" t="s">
        <v>12</v>
      </c>
      <c r="B24" s="490" t="s">
        <v>54</v>
      </c>
      <c r="C24" s="491"/>
      <c r="D24" s="48"/>
      <c r="E24" s="48"/>
      <c r="F24" s="45"/>
      <c r="G24" s="45"/>
      <c r="H24" s="45"/>
    </row>
    <row r="25" spans="1:20" ht="14" customHeight="1" x14ac:dyDescent="0.2">
      <c r="B25" s="63"/>
      <c r="C25" s="73"/>
      <c r="D25" s="42"/>
      <c r="E25" s="492"/>
      <c r="F25" s="494" t="s">
        <v>56</v>
      </c>
      <c r="G25" s="494"/>
      <c r="H25" s="494"/>
      <c r="I25" s="494"/>
      <c r="J25" s="494"/>
      <c r="K25" s="495"/>
    </row>
    <row r="26" spans="1:20" s="9" customFormat="1" ht="14" customHeight="1" x14ac:dyDescent="0.2">
      <c r="B26" s="79" t="s">
        <v>55</v>
      </c>
      <c r="C26" s="349">
        <f>I21</f>
        <v>1616978.705645524</v>
      </c>
      <c r="D26" s="50"/>
      <c r="E26" s="493"/>
      <c r="F26" s="220">
        <f>C42</f>
        <v>54.131789713118749</v>
      </c>
      <c r="G26" s="96">
        <f>H26-T28</f>
        <v>3.0000000000000002E-2</v>
      </c>
      <c r="H26" s="96">
        <f>I26-T28</f>
        <v>3.2500000000000001E-2</v>
      </c>
      <c r="I26" s="96">
        <v>3.5000000000000003E-2</v>
      </c>
      <c r="J26" s="96">
        <f>I26+T28</f>
        <v>3.7500000000000006E-2</v>
      </c>
      <c r="K26" s="100">
        <f>J26+T28</f>
        <v>4.0000000000000008E-2</v>
      </c>
    </row>
    <row r="27" spans="1:20" ht="14" customHeight="1" thickBot="1" x14ac:dyDescent="0.25">
      <c r="B27" s="63"/>
      <c r="C27" s="73"/>
      <c r="D27" s="43"/>
      <c r="E27" s="499" t="s">
        <v>71</v>
      </c>
      <c r="F27" s="97">
        <f>F28-T27</f>
        <v>7.2278449999999994E-2</v>
      </c>
      <c r="G27" s="221">
        <f t="dataTable" ref="G27:K31" dt2D="1" dtr="1" r1="C29" r2="C78" ca="1"/>
        <v>62.074968860605942</v>
      </c>
      <c r="H27" s="221">
        <v>65.516452160244967</v>
      </c>
      <c r="I27" s="221">
        <v>69.419526982551787</v>
      </c>
      <c r="J27" s="221">
        <v>73.883735901160605</v>
      </c>
      <c r="K27" s="222">
        <v>79.039460199009852</v>
      </c>
      <c r="M27" s="143"/>
      <c r="N27" s="501"/>
      <c r="O27" s="501"/>
      <c r="S27" s="103" t="s">
        <v>97</v>
      </c>
      <c r="T27" s="104">
        <v>5.0000000000000001E-3</v>
      </c>
    </row>
    <row r="28" spans="1:20" s="9" customFormat="1" ht="14" customHeight="1" thickBot="1" x14ac:dyDescent="0.25">
      <c r="B28" s="63" t="s">
        <v>282</v>
      </c>
      <c r="C28" s="350">
        <f>H18</f>
        <v>545741.21697842982</v>
      </c>
      <c r="D28" s="50"/>
      <c r="E28" s="499"/>
      <c r="F28" s="97">
        <f>F29-T27</f>
        <v>7.7278449999999999E-2</v>
      </c>
      <c r="G28" s="223">
        <v>55.194648185519448</v>
      </c>
      <c r="H28" s="224">
        <v>57.878130367281074</v>
      </c>
      <c r="I28" s="225">
        <v>60.878970704528719</v>
      </c>
      <c r="J28" s="226">
        <v>64.257005268455345</v>
      </c>
      <c r="K28" s="227">
        <v>68.088121245896545</v>
      </c>
      <c r="M28" s="143"/>
      <c r="N28" s="237"/>
      <c r="O28" s="237"/>
      <c r="S28" s="105" t="s">
        <v>96</v>
      </c>
      <c r="T28" s="106">
        <f>0.0025</f>
        <v>2.5000000000000001E-3</v>
      </c>
    </row>
    <row r="29" spans="1:20" s="9" customFormat="1" ht="14" customHeight="1" thickBot="1" x14ac:dyDescent="0.25">
      <c r="B29" s="80" t="s">
        <v>56</v>
      </c>
      <c r="C29" s="112">
        <v>3.5000000000000003E-2</v>
      </c>
      <c r="D29" s="51"/>
      <c r="E29" s="499"/>
      <c r="F29" s="97">
        <v>8.2278450000000003E-2</v>
      </c>
      <c r="G29" s="223">
        <v>49.619147409355072</v>
      </c>
      <c r="H29" s="228">
        <v>51.762150390829738</v>
      </c>
      <c r="I29" s="229">
        <v>54.131789713118749</v>
      </c>
      <c r="J29" s="230">
        <v>56.766024987510733</v>
      </c>
      <c r="K29" s="227">
        <v>59.711794302813843</v>
      </c>
      <c r="M29" s="210"/>
      <c r="N29" s="315"/>
      <c r="O29" s="315"/>
    </row>
    <row r="30" spans="1:20" ht="14" customHeight="1" thickBot="1" x14ac:dyDescent="0.25">
      <c r="B30" s="74" t="s">
        <v>57</v>
      </c>
      <c r="C30" s="350">
        <f>C28*((1+C29)/(C78-C29))</f>
        <v>11947137.851868557</v>
      </c>
      <c r="D30" s="51"/>
      <c r="E30" s="499"/>
      <c r="F30" s="98">
        <f>F29+T27</f>
        <v>8.7278450000000007E-2</v>
      </c>
      <c r="G30" s="223">
        <v>45.007577387702703</v>
      </c>
      <c r="H30" s="231">
        <v>46.752510457907412</v>
      </c>
      <c r="I30" s="232">
        <v>48.664331898961365</v>
      </c>
      <c r="J30" s="233">
        <v>50.768186382532129</v>
      </c>
      <c r="K30" s="227">
        <v>53.094537001611812</v>
      </c>
      <c r="M30" s="143"/>
      <c r="N30" s="143"/>
      <c r="O30" s="143"/>
    </row>
    <row r="31" spans="1:20" ht="14" customHeight="1" thickBot="1" x14ac:dyDescent="0.25">
      <c r="B31" s="63" t="s">
        <v>58</v>
      </c>
      <c r="C31" s="113">
        <v>5</v>
      </c>
      <c r="D31" s="51"/>
      <c r="E31" s="500"/>
      <c r="F31" s="99">
        <f>F30+T27</f>
        <v>9.2278450000000012E-2</v>
      </c>
      <c r="G31" s="234">
        <v>41.128479206700433</v>
      </c>
      <c r="H31" s="235">
        <v>42.572345522278553</v>
      </c>
      <c r="I31" s="235">
        <v>44.142251065138318</v>
      </c>
      <c r="J31" s="235">
        <v>45.855452515682572</v>
      </c>
      <c r="K31" s="236">
        <v>47.732507470925626</v>
      </c>
      <c r="M31" s="143"/>
      <c r="N31" s="143"/>
      <c r="O31" s="208"/>
    </row>
    <row r="32" spans="1:20" ht="14" customHeight="1" x14ac:dyDescent="0.2">
      <c r="B32" s="79" t="s">
        <v>59</v>
      </c>
      <c r="C32" s="349">
        <f>C30/(1+C78)^C31</f>
        <v>8045792.3495423319</v>
      </c>
      <c r="D32" s="48"/>
      <c r="E32" s="48"/>
      <c r="F32" s="51"/>
      <c r="G32" s="94"/>
      <c r="H32" s="94"/>
      <c r="I32" s="95"/>
      <c r="J32" s="95"/>
      <c r="K32" s="95"/>
      <c r="M32" s="143"/>
      <c r="N32" s="143"/>
      <c r="O32" s="143"/>
    </row>
    <row r="33" spans="1:17" ht="14" customHeight="1" x14ac:dyDescent="0.2">
      <c r="B33" s="63"/>
      <c r="C33" s="350"/>
      <c r="D33" s="53"/>
      <c r="E33" s="53"/>
      <c r="F33" s="53"/>
      <c r="G33" s="53"/>
      <c r="H33" s="40"/>
      <c r="M33" s="317"/>
      <c r="N33" s="317"/>
      <c r="O33" s="143"/>
    </row>
    <row r="34" spans="1:17" ht="14" customHeight="1" x14ac:dyDescent="0.2">
      <c r="B34" s="79" t="s">
        <v>72</v>
      </c>
      <c r="C34" s="349">
        <f>(C30/(1+C78)^C31)+I21</f>
        <v>9662771.0551878549</v>
      </c>
      <c r="D34" s="23"/>
      <c r="E34" s="23"/>
      <c r="F34" s="26"/>
      <c r="M34" s="238"/>
      <c r="N34" s="238"/>
      <c r="O34" s="143"/>
    </row>
    <row r="35" spans="1:17" ht="14" customHeight="1" x14ac:dyDescent="0.2">
      <c r="B35" s="215" t="s">
        <v>149</v>
      </c>
      <c r="C35" s="351">
        <f>C55</f>
        <v>10350</v>
      </c>
      <c r="D35" s="23"/>
      <c r="E35" s="23"/>
      <c r="F35" s="26"/>
      <c r="M35" s="238"/>
      <c r="N35" s="238"/>
      <c r="O35" s="143"/>
    </row>
    <row r="36" spans="1:17" ht="14" customHeight="1" x14ac:dyDescent="0.2">
      <c r="B36" s="79" t="s">
        <v>46</v>
      </c>
      <c r="C36" s="349">
        <f>C34-C35</f>
        <v>9652421.0551878549</v>
      </c>
      <c r="D36" s="23"/>
      <c r="E36" s="23"/>
      <c r="F36" s="26"/>
      <c r="M36" s="238"/>
      <c r="N36" s="238"/>
      <c r="O36" s="143"/>
    </row>
    <row r="37" spans="1:17" ht="14" customHeight="1" x14ac:dyDescent="0.2">
      <c r="B37" s="217"/>
      <c r="C37" s="216"/>
      <c r="D37" s="23"/>
      <c r="E37" s="23"/>
      <c r="F37" s="26"/>
      <c r="M37" s="238"/>
      <c r="N37" s="238"/>
      <c r="O37" s="143"/>
    </row>
    <row r="38" spans="1:17" ht="14" customHeight="1" x14ac:dyDescent="0.2">
      <c r="B38" s="79" t="s">
        <v>141</v>
      </c>
      <c r="C38" s="219">
        <f>'Income Statement'!R32</f>
        <v>188923</v>
      </c>
      <c r="D38" s="23"/>
      <c r="E38" s="23"/>
      <c r="F38" s="26"/>
      <c r="M38" s="238"/>
      <c r="N38" s="238"/>
      <c r="O38" s="143"/>
    </row>
    <row r="39" spans="1:17" ht="14" customHeight="1" x14ac:dyDescent="0.2">
      <c r="B39" s="217"/>
      <c r="C39" s="216"/>
      <c r="D39" s="23"/>
      <c r="E39" s="23"/>
      <c r="F39" s="26"/>
      <c r="M39" s="238"/>
      <c r="N39" s="238"/>
      <c r="O39" s="143"/>
    </row>
    <row r="40" spans="1:17" ht="14" customHeight="1" x14ac:dyDescent="0.2">
      <c r="B40" s="217" t="s">
        <v>150</v>
      </c>
      <c r="C40" s="353">
        <f>C36/C38</f>
        <v>51.091826062405609</v>
      </c>
      <c r="D40" s="23"/>
      <c r="E40" s="23"/>
      <c r="F40" s="26"/>
      <c r="M40" s="238"/>
      <c r="N40" s="238"/>
      <c r="O40" s="143"/>
    </row>
    <row r="41" spans="1:17" ht="14" customHeight="1" x14ac:dyDescent="0.2">
      <c r="B41" s="79" t="s">
        <v>284</v>
      </c>
      <c r="C41" s="354">
        <f>' DCF - Ideal Cap Structure'!C41</f>
        <v>1.0595000000000001</v>
      </c>
      <c r="D41" s="23"/>
      <c r="E41" s="23"/>
      <c r="F41" s="26"/>
      <c r="M41" s="238"/>
      <c r="N41" s="238"/>
      <c r="O41" s="143"/>
    </row>
    <row r="42" spans="1:17" ht="14" customHeight="1" thickBot="1" x14ac:dyDescent="0.25">
      <c r="A42" s="1" t="s">
        <v>12</v>
      </c>
      <c r="B42" s="81" t="s">
        <v>150</v>
      </c>
      <c r="C42" s="352">
        <f>C40*C41</f>
        <v>54.131789713118749</v>
      </c>
      <c r="D42" s="23"/>
      <c r="E42" s="23"/>
      <c r="F42" s="26"/>
      <c r="M42" s="238"/>
      <c r="N42" s="238"/>
      <c r="O42" s="143"/>
    </row>
    <row r="43" spans="1:17" ht="14" customHeight="1" thickBot="1" x14ac:dyDescent="0.25">
      <c r="B43" s="26"/>
      <c r="C43" s="32"/>
      <c r="D43" s="23"/>
      <c r="E43" s="23"/>
      <c r="M43" s="143"/>
      <c r="N43" s="143"/>
      <c r="O43" s="143"/>
    </row>
    <row r="44" spans="1:17" ht="14" customHeight="1" thickBot="1" x14ac:dyDescent="0.25">
      <c r="A44" s="1" t="s">
        <v>12</v>
      </c>
      <c r="B44" s="490" t="s">
        <v>61</v>
      </c>
      <c r="C44" s="491"/>
      <c r="D44" s="23"/>
      <c r="E44" s="42"/>
      <c r="F44" s="502"/>
      <c r="G44" s="502"/>
      <c r="H44" s="502"/>
      <c r="I44" s="502"/>
      <c r="J44" s="502"/>
      <c r="K44" s="502"/>
      <c r="M44" s="143"/>
      <c r="N44" s="143"/>
      <c r="O44" s="143"/>
    </row>
    <row r="45" spans="1:17" ht="14" customHeight="1" x14ac:dyDescent="0.2">
      <c r="B45" s="63"/>
      <c r="C45" s="73"/>
      <c r="D45" s="23"/>
      <c r="E45" s="492"/>
      <c r="F45" s="494" t="s">
        <v>61</v>
      </c>
      <c r="G45" s="494"/>
      <c r="H45" s="494"/>
      <c r="I45" s="494"/>
      <c r="J45" s="494"/>
      <c r="K45" s="495"/>
      <c r="L45" s="9"/>
      <c r="M45" s="143"/>
      <c r="N45" s="143"/>
      <c r="O45" s="143"/>
    </row>
    <row r="46" spans="1:17" ht="14" customHeight="1" x14ac:dyDescent="0.2">
      <c r="B46" s="79" t="s">
        <v>55</v>
      </c>
      <c r="C46" s="349">
        <f>I21</f>
        <v>1616978.705645524</v>
      </c>
      <c r="D46" s="23"/>
      <c r="E46" s="493"/>
      <c r="F46" s="220">
        <f>C62</f>
        <v>68.257888622633061</v>
      </c>
      <c r="G46" s="101">
        <f>H46-Q46</f>
        <v>6</v>
      </c>
      <c r="H46" s="101">
        <f>I46-Q46</f>
        <v>6.5</v>
      </c>
      <c r="I46" s="101">
        <v>7</v>
      </c>
      <c r="J46" s="101">
        <f>I46+Q46</f>
        <v>7.5</v>
      </c>
      <c r="K46" s="102">
        <f>J46+Q46</f>
        <v>8</v>
      </c>
      <c r="M46" s="143"/>
      <c r="N46" s="501"/>
      <c r="O46" s="501"/>
      <c r="P46" s="107" t="s">
        <v>96</v>
      </c>
      <c r="Q46" s="90">
        <f>0.5</f>
        <v>0.5</v>
      </c>
    </row>
    <row r="47" spans="1:17" ht="14" customHeight="1" thickBot="1" x14ac:dyDescent="0.25">
      <c r="B47" s="63"/>
      <c r="C47" s="75"/>
      <c r="D47" s="26"/>
      <c r="E47" s="496" t="s">
        <v>71</v>
      </c>
      <c r="F47" s="97">
        <f>F48-T27</f>
        <v>7.2278449999999994E-2</v>
      </c>
      <c r="G47" s="221">
        <f t="dataTable" ref="G47:K51" dt2D="1" dtr="1" r1="C49" r2="C78"/>
        <v>62.671677816550364</v>
      </c>
      <c r="H47" s="221">
        <v>67.104710824823371</v>
      </c>
      <c r="I47" s="221">
        <v>71.537743833096386</v>
      </c>
      <c r="J47" s="221">
        <v>75.9707768413694</v>
      </c>
      <c r="K47" s="222">
        <v>80.403809849642414</v>
      </c>
      <c r="L47" s="9"/>
      <c r="M47" s="143"/>
      <c r="N47" s="204"/>
      <c r="O47" s="204"/>
    </row>
    <row r="48" spans="1:17" ht="14" customHeight="1" thickBot="1" x14ac:dyDescent="0.25">
      <c r="B48" s="63" t="s">
        <v>283</v>
      </c>
      <c r="C48" s="350">
        <f>H10</f>
        <v>2241056.0698791887</v>
      </c>
      <c r="D48" s="26"/>
      <c r="E48" s="497"/>
      <c r="F48" s="97">
        <f>F49-T27</f>
        <v>7.7278449999999999E-2</v>
      </c>
      <c r="G48" s="223">
        <v>61.212492508541018</v>
      </c>
      <c r="H48" s="224">
        <v>65.543600307537517</v>
      </c>
      <c r="I48" s="225">
        <v>69.874708106534001</v>
      </c>
      <c r="J48" s="226">
        <v>74.205815905530486</v>
      </c>
      <c r="K48" s="227">
        <v>78.53692370452697</v>
      </c>
      <c r="L48" s="9"/>
      <c r="M48" s="210"/>
      <c r="N48" s="315"/>
      <c r="O48" s="315"/>
    </row>
    <row r="49" spans="1:15" ht="14" customHeight="1" thickBot="1" x14ac:dyDescent="0.25">
      <c r="B49" s="80" t="s">
        <v>62</v>
      </c>
      <c r="C49" s="114">
        <v>7</v>
      </c>
      <c r="D49" s="32"/>
      <c r="E49" s="497"/>
      <c r="F49" s="97">
        <v>8.2278450000000003E-2</v>
      </c>
      <c r="G49" s="223">
        <v>59.793924862172616</v>
      </c>
      <c r="H49" s="228">
        <v>64.025906742402825</v>
      </c>
      <c r="I49" s="229">
        <v>68.257888622633061</v>
      </c>
      <c r="J49" s="230">
        <v>72.489870502863269</v>
      </c>
      <c r="K49" s="227">
        <v>76.721852383093491</v>
      </c>
      <c r="M49" s="143"/>
      <c r="N49" s="143"/>
      <c r="O49" s="143"/>
    </row>
    <row r="50" spans="1:15" ht="14" customHeight="1" thickBot="1" x14ac:dyDescent="0.25">
      <c r="B50" s="74" t="s">
        <v>57</v>
      </c>
      <c r="C50" s="350">
        <f>C48*C49</f>
        <v>15687392.48915432</v>
      </c>
      <c r="E50" s="497"/>
      <c r="F50" s="98">
        <f>F49+T27</f>
        <v>8.7278450000000007E-2</v>
      </c>
      <c r="G50" s="223">
        <v>58.414660679344784</v>
      </c>
      <c r="H50" s="231">
        <v>62.550226647094668</v>
      </c>
      <c r="I50" s="232">
        <v>66.685792614844573</v>
      </c>
      <c r="J50" s="233">
        <v>70.821358582594456</v>
      </c>
      <c r="K50" s="227">
        <v>74.956924550344368</v>
      </c>
      <c r="M50" s="143"/>
      <c r="N50" s="143"/>
      <c r="O50" s="143"/>
    </row>
    <row r="51" spans="1:15" ht="14" customHeight="1" thickBot="1" x14ac:dyDescent="0.25">
      <c r="B51" s="63" t="s">
        <v>58</v>
      </c>
      <c r="C51" s="113">
        <v>5</v>
      </c>
      <c r="E51" s="498"/>
      <c r="F51" s="99">
        <f>F50+T27</f>
        <v>9.2278450000000012E-2</v>
      </c>
      <c r="G51" s="234">
        <v>57.073434157303609</v>
      </c>
      <c r="H51" s="235">
        <v>61.115208174419131</v>
      </c>
      <c r="I51" s="235">
        <v>65.156982191534667</v>
      </c>
      <c r="J51" s="235">
        <v>69.198756208650181</v>
      </c>
      <c r="K51" s="236">
        <v>73.24053022576571</v>
      </c>
      <c r="M51" s="208"/>
      <c r="N51" s="208"/>
      <c r="O51" s="208"/>
    </row>
    <row r="52" spans="1:15" ht="14" customHeight="1" x14ac:dyDescent="0.2">
      <c r="B52" s="79" t="s">
        <v>59</v>
      </c>
      <c r="C52" s="349">
        <f>C50/(1+C78)^C51</f>
        <v>10564664.444192799</v>
      </c>
      <c r="M52" s="208"/>
      <c r="N52" s="208"/>
      <c r="O52" s="143"/>
    </row>
    <row r="53" spans="1:15" ht="14" customHeight="1" x14ac:dyDescent="0.2">
      <c r="B53" s="74"/>
      <c r="C53" s="76"/>
      <c r="M53" s="143"/>
      <c r="N53" s="143"/>
      <c r="O53" s="143"/>
    </row>
    <row r="54" spans="1:15" ht="14" customHeight="1" x14ac:dyDescent="0.2">
      <c r="B54" s="79" t="s">
        <v>60</v>
      </c>
      <c r="C54" s="349">
        <f>SUM(C52+C46)</f>
        <v>12181643.149838323</v>
      </c>
      <c r="M54" s="143"/>
      <c r="N54" s="143"/>
      <c r="O54" s="143"/>
    </row>
    <row r="55" spans="1:15" ht="14" customHeight="1" x14ac:dyDescent="0.2">
      <c r="B55" s="215" t="s">
        <v>149</v>
      </c>
      <c r="C55" s="351">
        <f>C65*1000</f>
        <v>10350</v>
      </c>
    </row>
    <row r="56" spans="1:15" ht="14" customHeight="1" x14ac:dyDescent="0.2">
      <c r="B56" s="79" t="s">
        <v>46</v>
      </c>
      <c r="C56" s="349">
        <f>C54-C55</f>
        <v>12171293.149838323</v>
      </c>
    </row>
    <row r="57" spans="1:15" ht="14" customHeight="1" x14ac:dyDescent="0.2">
      <c r="B57" s="217"/>
      <c r="C57" s="216"/>
    </row>
    <row r="58" spans="1:15" ht="14" customHeight="1" x14ac:dyDescent="0.2">
      <c r="B58" s="79" t="s">
        <v>141</v>
      </c>
      <c r="C58" s="218">
        <f>C38</f>
        <v>188923</v>
      </c>
    </row>
    <row r="59" spans="1:15" ht="14" customHeight="1" x14ac:dyDescent="0.2">
      <c r="B59" s="217"/>
      <c r="C59" s="216"/>
    </row>
    <row r="60" spans="1:15" ht="14" customHeight="1" x14ac:dyDescent="0.2">
      <c r="B60" s="217" t="s">
        <v>150</v>
      </c>
      <c r="C60" s="353">
        <f>C56/C58</f>
        <v>64.424623523013736</v>
      </c>
    </row>
    <row r="61" spans="1:15" ht="14" customHeight="1" x14ac:dyDescent="0.2">
      <c r="B61" s="79" t="s">
        <v>284</v>
      </c>
      <c r="C61" s="354">
        <f>C41</f>
        <v>1.0595000000000001</v>
      </c>
    </row>
    <row r="62" spans="1:15" ht="14" customHeight="1" thickBot="1" x14ac:dyDescent="0.25">
      <c r="A62" s="1" t="s">
        <v>12</v>
      </c>
      <c r="B62" s="81" t="s">
        <v>150</v>
      </c>
      <c r="C62" s="352">
        <f>C60*C61</f>
        <v>68.257888622633061</v>
      </c>
    </row>
    <row r="63" spans="1:15" ht="14" customHeight="1" thickBot="1" x14ac:dyDescent="0.25">
      <c r="B63" s="77"/>
      <c r="C63" s="78"/>
    </row>
    <row r="64" spans="1:15" ht="14" customHeight="1" thickBot="1" x14ac:dyDescent="0.25">
      <c r="A64" s="1" t="s">
        <v>12</v>
      </c>
      <c r="B64" s="490" t="s">
        <v>63</v>
      </c>
      <c r="C64" s="491"/>
    </row>
    <row r="65" spans="1:3" ht="14" customHeight="1" x14ac:dyDescent="0.2">
      <c r="B65" s="320" t="s">
        <v>64</v>
      </c>
      <c r="C65" s="359">
        <v>10.35</v>
      </c>
    </row>
    <row r="66" spans="1:3" ht="14" customHeight="1" x14ac:dyDescent="0.2">
      <c r="B66" s="331" t="s">
        <v>77</v>
      </c>
      <c r="C66" s="357">
        <v>89.65</v>
      </c>
    </row>
    <row r="67" spans="1:3" ht="14" customHeight="1" x14ac:dyDescent="0.2">
      <c r="B67" s="322" t="s">
        <v>65</v>
      </c>
      <c r="C67" s="358">
        <f>SUM(C65:C66)</f>
        <v>100</v>
      </c>
    </row>
    <row r="68" spans="1:3" ht="14" customHeight="1" x14ac:dyDescent="0.2">
      <c r="B68" s="324"/>
      <c r="C68" s="323"/>
    </row>
    <row r="69" spans="1:3" ht="14" customHeight="1" x14ac:dyDescent="0.2">
      <c r="B69" s="320" t="s">
        <v>66</v>
      </c>
      <c r="C69" s="344">
        <v>1.0449999999999999</v>
      </c>
    </row>
    <row r="70" spans="1:3" ht="14" customHeight="1" x14ac:dyDescent="0.2">
      <c r="B70" s="320" t="s">
        <v>73</v>
      </c>
      <c r="C70" s="346">
        <v>8.1500000000000003E-2</v>
      </c>
    </row>
    <row r="71" spans="1:3" ht="14" customHeight="1" x14ac:dyDescent="0.2">
      <c r="B71" s="331" t="s">
        <v>68</v>
      </c>
      <c r="C71" s="345">
        <v>2.384E-2</v>
      </c>
    </row>
    <row r="72" spans="1:3" ht="14" customHeight="1" x14ac:dyDescent="0.2">
      <c r="B72" s="325" t="s">
        <v>69</v>
      </c>
      <c r="C72" s="326">
        <v>9.0899999999999995E-2</v>
      </c>
    </row>
    <row r="73" spans="1:3" ht="14" customHeight="1" x14ac:dyDescent="0.2">
      <c r="B73" s="327"/>
      <c r="C73" s="328"/>
    </row>
    <row r="74" spans="1:3" ht="14" customHeight="1" x14ac:dyDescent="0.2">
      <c r="B74" s="329" t="s">
        <v>75</v>
      </c>
      <c r="C74" s="347">
        <v>2.1000000000000001E-2</v>
      </c>
    </row>
    <row r="75" spans="1:3" ht="14" customHeight="1" x14ac:dyDescent="0.2">
      <c r="B75" s="333" t="s">
        <v>16</v>
      </c>
      <c r="C75" s="348">
        <f>'Income Statement'!M47</f>
        <v>0.29546860596489311</v>
      </c>
    </row>
    <row r="76" spans="1:3" ht="14" customHeight="1" x14ac:dyDescent="0.2">
      <c r="B76" s="325" t="s">
        <v>70</v>
      </c>
      <c r="C76" s="326">
        <v>7.6E-3</v>
      </c>
    </row>
    <row r="77" spans="1:3" ht="14" customHeight="1" x14ac:dyDescent="0.2">
      <c r="B77" s="329"/>
      <c r="C77" s="330"/>
    </row>
    <row r="78" spans="1:3" ht="14" customHeight="1" thickBot="1" x14ac:dyDescent="0.25">
      <c r="A78" s="1" t="s">
        <v>12</v>
      </c>
      <c r="B78" s="84" t="s">
        <v>71</v>
      </c>
      <c r="C78" s="214">
        <f>((C65*C76)+(C66*C72))/C67</f>
        <v>8.2278449999999989E-2</v>
      </c>
    </row>
    <row r="80" spans="1:3" ht="14" customHeight="1" x14ac:dyDescent="0.2">
      <c r="A80" s="1" t="s">
        <v>12</v>
      </c>
      <c r="B80" s="9" t="s">
        <v>74</v>
      </c>
    </row>
    <row r="81" spans="2:7" ht="14" customHeight="1" x14ac:dyDescent="0.2">
      <c r="B81" s="1" t="s">
        <v>92</v>
      </c>
      <c r="C81" s="93"/>
    </row>
    <row r="82" spans="2:7" ht="14" customHeight="1" x14ac:dyDescent="0.2">
      <c r="B82" s="1" t="s">
        <v>285</v>
      </c>
      <c r="C82" s="93"/>
      <c r="D82" s="355">
        <f>'Income Statement'!M20+-'Fixed Asset'!E11</f>
        <v>842799</v>
      </c>
    </row>
    <row r="83" spans="2:7" ht="14" customHeight="1" x14ac:dyDescent="0.2">
      <c r="B83" s="1" t="s">
        <v>141</v>
      </c>
      <c r="C83" s="93"/>
      <c r="D83" s="356">
        <f>'Income Statement'!M32</f>
        <v>188923</v>
      </c>
    </row>
    <row r="84" spans="2:7" ht="14" customHeight="1" x14ac:dyDescent="0.2">
      <c r="B84" s="1" t="s">
        <v>287</v>
      </c>
      <c r="C84" s="93"/>
      <c r="D84" s="1">
        <v>67.75</v>
      </c>
    </row>
    <row r="85" spans="2:7" ht="14" customHeight="1" x14ac:dyDescent="0.2">
      <c r="C85" s="93"/>
    </row>
    <row r="86" spans="2:7" ht="14" customHeight="1" x14ac:dyDescent="0.2">
      <c r="C86" s="93"/>
    </row>
    <row r="87" spans="2:7" ht="14" customHeight="1" x14ac:dyDescent="0.2">
      <c r="C87" s="93"/>
    </row>
    <row r="88" spans="2:7" ht="14" customHeight="1" x14ac:dyDescent="0.2">
      <c r="C88" s="93"/>
    </row>
    <row r="89" spans="2:7" ht="14" customHeight="1" x14ac:dyDescent="0.2">
      <c r="C89" s="93"/>
    </row>
    <row r="90" spans="2:7" ht="14" customHeight="1" x14ac:dyDescent="0.2">
      <c r="C90" s="93"/>
    </row>
    <row r="91" spans="2:7" ht="14" customHeight="1" x14ac:dyDescent="0.2">
      <c r="C91" s="93"/>
    </row>
    <row r="92" spans="2:7" ht="14" customHeight="1" x14ac:dyDescent="0.2">
      <c r="C92" s="93"/>
    </row>
    <row r="93" spans="2:7" ht="14" customHeight="1" x14ac:dyDescent="0.2">
      <c r="C93" s="93"/>
    </row>
    <row r="94" spans="2:7" ht="14" customHeight="1" x14ac:dyDescent="0.2">
      <c r="B94" s="9"/>
    </row>
    <row r="95" spans="2:7" ht="14" customHeight="1" x14ac:dyDescent="0.2">
      <c r="B95" s="1" t="s">
        <v>85</v>
      </c>
      <c r="C95" s="318" t="s">
        <v>78</v>
      </c>
      <c r="D95" s="318" t="s">
        <v>81</v>
      </c>
      <c r="E95" s="318" t="s">
        <v>79</v>
      </c>
      <c r="F95" s="318" t="s">
        <v>80</v>
      </c>
      <c r="G95" s="318" t="s">
        <v>84</v>
      </c>
    </row>
    <row r="96" spans="2:7" ht="14" customHeight="1" x14ac:dyDescent="0.2">
      <c r="B96" s="1" t="s">
        <v>86</v>
      </c>
      <c r="C96" s="86">
        <v>0.12928999999999999</v>
      </c>
      <c r="D96" s="86">
        <v>4.8439000000000003E-2</v>
      </c>
      <c r="E96" s="86">
        <v>8.8347999999999996E-2</v>
      </c>
      <c r="F96" s="86">
        <v>0.13877</v>
      </c>
      <c r="G96" s="82">
        <f>(C96*0.6)+(D96*0.25)+(E96*0.1)+(F96*0.05)</f>
        <v>0.10545705</v>
      </c>
    </row>
    <row r="97" spans="2:7" ht="14" customHeight="1" x14ac:dyDescent="0.2">
      <c r="B97" s="1" t="s">
        <v>82</v>
      </c>
      <c r="C97" s="86">
        <v>4.2688999999999998E-2</v>
      </c>
      <c r="D97" s="86">
        <v>2.8835E-2</v>
      </c>
      <c r="E97" s="86">
        <v>5.2367999999999998E-2</v>
      </c>
      <c r="F97" s="86">
        <v>0.14191799999999999</v>
      </c>
      <c r="G97" s="82">
        <f>(C97*0.6)+(D97*0.25)+(E97*0.1)+(F97*0.05)</f>
        <v>4.5154849999999996E-2</v>
      </c>
    </row>
    <row r="98" spans="2:7" ht="14" customHeight="1" x14ac:dyDescent="0.2">
      <c r="B98" s="1" t="s">
        <v>83</v>
      </c>
      <c r="C98" s="86">
        <v>8.6757000000000001E-2</v>
      </c>
      <c r="D98" s="86">
        <v>7.7480999999999994E-2</v>
      </c>
      <c r="E98" s="86">
        <v>9.2162999999999995E-2</v>
      </c>
      <c r="F98" s="86">
        <v>0.137493</v>
      </c>
      <c r="G98" s="82">
        <f>(C98*0.6)+(D98*0.25)+(E98*0.1)+(F98*0.05)</f>
        <v>8.7515399999999993E-2</v>
      </c>
    </row>
    <row r="99" spans="2:7" ht="14" customHeight="1" x14ac:dyDescent="0.2">
      <c r="B99" s="1" t="s">
        <v>87</v>
      </c>
      <c r="C99" s="86">
        <v>0.10647</v>
      </c>
      <c r="D99" s="86">
        <v>-9.7909999999999994E-3</v>
      </c>
      <c r="E99" s="86">
        <v>2.2037000000000001E-2</v>
      </c>
      <c r="F99" s="86">
        <v>6.1048999999999999E-2</v>
      </c>
      <c r="G99" s="82">
        <f>(C99*0.6)+(D99*0.25)+(E99*0.1)+(F99*0.05)</f>
        <v>6.6690399999999997E-2</v>
      </c>
    </row>
    <row r="100" spans="2:7" ht="14" customHeight="1" x14ac:dyDescent="0.2">
      <c r="B100" s="1" t="s">
        <v>88</v>
      </c>
      <c r="C100" s="86">
        <v>-8.2161999999999999E-2</v>
      </c>
      <c r="D100" s="86">
        <v>0.30473</v>
      </c>
      <c r="E100" s="86">
        <v>0.11368</v>
      </c>
      <c r="F100" s="86">
        <v>4.9502999999999998E-2</v>
      </c>
      <c r="G100" s="86">
        <f>(C100*0.6)+(D100*0.25)+(E100*0.1)+(F100*0.05)</f>
        <v>4.0728450000000006E-2</v>
      </c>
    </row>
    <row r="101" spans="2:7" ht="14" customHeight="1" x14ac:dyDescent="0.2">
      <c r="B101" s="9" t="s">
        <v>67</v>
      </c>
      <c r="C101" s="88">
        <f>(G96*0.5)+(G97*0.1)+(G98*0.15)+(G99*0.2)+(G100*0.05)</f>
        <v>8.5745822499999999E-2</v>
      </c>
      <c r="D101" s="86"/>
      <c r="E101" s="86"/>
      <c r="F101" s="86"/>
    </row>
    <row r="103" spans="2:7" ht="14" customHeight="1" x14ac:dyDescent="0.2">
      <c r="B103" s="9" t="s">
        <v>91</v>
      </c>
      <c r="C103" s="82" t="s">
        <v>92</v>
      </c>
      <c r="D103" s="1" t="s">
        <v>93</v>
      </c>
      <c r="E103" s="1" t="s">
        <v>94</v>
      </c>
    </row>
    <row r="104" spans="2:7" ht="14" customHeight="1" x14ac:dyDescent="0.2">
      <c r="B104" s="26" t="s">
        <v>38</v>
      </c>
      <c r="C104" s="85">
        <v>1505</v>
      </c>
      <c r="D104" s="64">
        <v>8930.2731578300009</v>
      </c>
      <c r="E104" s="65"/>
    </row>
    <row r="105" spans="2:7" ht="14" customHeight="1" x14ac:dyDescent="0.2">
      <c r="B105" s="40" t="s">
        <v>39</v>
      </c>
      <c r="C105" s="85">
        <v>9274.7049999999999</v>
      </c>
      <c r="D105" s="64">
        <v>71153.563048919998</v>
      </c>
      <c r="E105" s="65"/>
    </row>
    <row r="106" spans="2:7" ht="14" customHeight="1" x14ac:dyDescent="0.2">
      <c r="B106" s="40" t="s">
        <v>40</v>
      </c>
      <c r="C106" s="85">
        <v>5250.7539999999999</v>
      </c>
      <c r="D106" s="64">
        <v>18106.1186304</v>
      </c>
      <c r="E106" s="65"/>
    </row>
    <row r="107" spans="2:7" ht="14" customHeight="1" x14ac:dyDescent="0.2">
      <c r="B107" s="40" t="s">
        <v>41</v>
      </c>
      <c r="C107" s="85">
        <v>19.690000000000001</v>
      </c>
      <c r="D107" s="64">
        <v>165.45272119999998</v>
      </c>
      <c r="E107" s="65">
        <f t="shared" ref="E107:E112" si="5">D107/C107</f>
        <v>8.4028807110208206</v>
      </c>
    </row>
    <row r="108" spans="2:7" ht="14" customHeight="1" x14ac:dyDescent="0.2">
      <c r="B108" s="26" t="s">
        <v>43</v>
      </c>
      <c r="C108" s="85">
        <v>112.86750000000001</v>
      </c>
      <c r="D108" s="64">
        <v>888.58531498204695</v>
      </c>
      <c r="E108" s="65">
        <f t="shared" si="5"/>
        <v>7.8728182601904617</v>
      </c>
    </row>
    <row r="109" spans="2:7" ht="14" customHeight="1" x14ac:dyDescent="0.2">
      <c r="B109" s="26" t="s">
        <v>44</v>
      </c>
      <c r="C109" s="85">
        <v>1196.1297</v>
      </c>
      <c r="D109" s="64">
        <v>894.43591214157038</v>
      </c>
      <c r="E109" s="65">
        <f t="shared" si="5"/>
        <v>0.74777502150608788</v>
      </c>
    </row>
    <row r="110" spans="2:7" ht="14" customHeight="1" x14ac:dyDescent="0.2">
      <c r="B110" s="26" t="s">
        <v>45</v>
      </c>
      <c r="C110" s="85">
        <v>219.9025</v>
      </c>
      <c r="D110" s="64">
        <v>1855.5652110906613</v>
      </c>
      <c r="E110" s="65">
        <f t="shared" si="5"/>
        <v>8.4381269475820471</v>
      </c>
    </row>
    <row r="111" spans="2:7" ht="14" customHeight="1" x14ac:dyDescent="0.2">
      <c r="B111" s="26" t="s">
        <v>53</v>
      </c>
      <c r="C111" s="85">
        <v>287.55930000000001</v>
      </c>
      <c r="D111" s="64">
        <v>3809.4109769230772</v>
      </c>
      <c r="E111" s="65">
        <f t="shared" si="5"/>
        <v>13.247392718382182</v>
      </c>
    </row>
    <row r="112" spans="2:7" ht="14" customHeight="1" x14ac:dyDescent="0.2">
      <c r="B112" s="26" t="s">
        <v>42</v>
      </c>
      <c r="C112" s="85">
        <v>323.51900000000001</v>
      </c>
      <c r="D112" s="66">
        <v>2345.7698774999999</v>
      </c>
      <c r="E112" s="65">
        <f t="shared" si="5"/>
        <v>7.2507947833048441</v>
      </c>
    </row>
    <row r="113" spans="2:5" ht="14" customHeight="1" x14ac:dyDescent="0.2">
      <c r="B113" s="9" t="s">
        <v>95</v>
      </c>
      <c r="E113" s="91">
        <f>AVERAGE(E104:E112)</f>
        <v>7.6599647403310742</v>
      </c>
    </row>
    <row r="114" spans="2:5" ht="14" customHeight="1" x14ac:dyDescent="0.2">
      <c r="B114" s="9" t="s">
        <v>49</v>
      </c>
      <c r="E114" s="91">
        <f>_xlfn.QUARTILE.EXC(E104:E112,2)</f>
        <v>8.137849485605642</v>
      </c>
    </row>
    <row r="115" spans="2:5" ht="14" customHeight="1" x14ac:dyDescent="0.2">
      <c r="B115" s="9" t="s">
        <v>94</v>
      </c>
      <c r="E115" s="92">
        <f>AVERAGE(E113:E114)</f>
        <v>7.8989071129683577</v>
      </c>
    </row>
  </sheetData>
  <mergeCells count="15">
    <mergeCell ref="E47:E51"/>
    <mergeCell ref="B64:C64"/>
    <mergeCell ref="E27:E31"/>
    <mergeCell ref="N27:O27"/>
    <mergeCell ref="B44:C44"/>
    <mergeCell ref="F44:K44"/>
    <mergeCell ref="E45:E46"/>
    <mergeCell ref="F45:K45"/>
    <mergeCell ref="N46:O46"/>
    <mergeCell ref="D1:F1"/>
    <mergeCell ref="C6:H6"/>
    <mergeCell ref="N7:Q19"/>
    <mergeCell ref="B24:C24"/>
    <mergeCell ref="E25:E26"/>
    <mergeCell ref="F25:K25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AG95"/>
  <sheetViews>
    <sheetView showGridLines="0" zoomScale="75" zoomScaleNormal="64" zoomScalePageLayoutView="64" workbookViewId="0">
      <selection activeCell="K30" sqref="K30:N30"/>
    </sheetView>
  </sheetViews>
  <sheetFormatPr baseColWidth="10" defaultColWidth="8.5" defaultRowHeight="14" customHeight="1" x14ac:dyDescent="0.2"/>
  <cols>
    <col min="1" max="1" width="1.5" style="1" customWidth="1"/>
    <col min="2" max="2" width="32.33203125" style="1" customWidth="1"/>
    <col min="3" max="3" width="11.5" style="1" customWidth="1"/>
    <col min="4" max="4" width="10" style="1" customWidth="1"/>
    <col min="5" max="5" width="12.1640625" style="1" customWidth="1"/>
    <col min="6" max="6" width="10" style="1" customWidth="1"/>
    <col min="7" max="7" width="14" style="1" customWidth="1"/>
    <col min="8" max="8" width="8" style="1" customWidth="1"/>
    <col min="9" max="9" width="7.83203125" style="1" customWidth="1"/>
    <col min="10" max="10" width="13.1640625" style="1" customWidth="1"/>
    <col min="11" max="11" width="14" style="1" customWidth="1"/>
    <col min="12" max="12" width="6.83203125" style="1" customWidth="1"/>
    <col min="13" max="13" width="13.33203125" style="1" customWidth="1"/>
    <col min="14" max="14" width="11.6640625" style="1" customWidth="1"/>
    <col min="15" max="15" width="13.1640625" style="1" customWidth="1"/>
    <col min="16" max="17" width="14.6640625" style="1" customWidth="1"/>
    <col min="18" max="18" width="9.1640625" style="1" customWidth="1"/>
    <col min="19" max="20" width="8.5" style="1"/>
    <col min="21" max="21" width="10.5" style="1" bestFit="1" customWidth="1"/>
    <col min="22" max="26" width="8.5" style="1"/>
    <col min="27" max="27" width="12.1640625" style="1" customWidth="1"/>
    <col min="28" max="28" width="9.5" style="1" customWidth="1"/>
    <col min="29" max="29" width="8.5" style="1"/>
    <col min="30" max="30" width="12.5" style="1" bestFit="1" customWidth="1"/>
    <col min="31" max="16384" width="8.5" style="1"/>
  </cols>
  <sheetData>
    <row r="1" spans="1:33" ht="21" x14ac:dyDescent="0.3">
      <c r="B1" s="8" t="s">
        <v>188</v>
      </c>
      <c r="C1" s="378"/>
      <c r="D1" s="378"/>
      <c r="E1" s="378"/>
      <c r="F1" s="378"/>
      <c r="G1" s="378"/>
      <c r="H1" s="378"/>
    </row>
    <row r="2" spans="1:33" ht="14" customHeight="1" x14ac:dyDescent="0.2">
      <c r="B2" s="1" t="s">
        <v>163</v>
      </c>
      <c r="C2" s="378"/>
      <c r="D2" s="378"/>
      <c r="E2" s="378"/>
      <c r="F2" s="378"/>
      <c r="G2" s="378"/>
      <c r="H2" s="378"/>
      <c r="I2" s="139"/>
      <c r="J2" s="139"/>
      <c r="K2" s="139"/>
      <c r="L2" s="139"/>
    </row>
    <row r="3" spans="1:33" ht="14" customHeight="1" x14ac:dyDescent="0.2">
      <c r="C3" s="378"/>
      <c r="D3" s="378"/>
      <c r="E3" s="378"/>
      <c r="F3" s="378"/>
      <c r="G3" s="378"/>
      <c r="H3" s="378"/>
    </row>
    <row r="4" spans="1:33" ht="14" customHeight="1" x14ac:dyDescent="0.2">
      <c r="B4" s="9" t="s">
        <v>29</v>
      </c>
      <c r="C4" s="378"/>
      <c r="D4" s="378"/>
      <c r="E4" s="378"/>
      <c r="F4" s="378"/>
      <c r="G4" s="378"/>
      <c r="H4" s="378"/>
    </row>
    <row r="5" spans="1:33" ht="14" customHeight="1" x14ac:dyDescent="0.2">
      <c r="B5" s="10" t="s">
        <v>307</v>
      </c>
      <c r="C5" s="378"/>
      <c r="D5" s="378"/>
      <c r="E5" s="378"/>
      <c r="F5" s="378"/>
      <c r="G5" s="378"/>
      <c r="H5" s="378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</row>
    <row r="6" spans="1:33" ht="14" customHeight="1" x14ac:dyDescent="0.2">
      <c r="B6" s="40"/>
      <c r="C6" s="378"/>
      <c r="D6" s="378"/>
      <c r="E6" s="378"/>
      <c r="F6" s="378"/>
      <c r="G6" s="378"/>
      <c r="H6" s="378"/>
      <c r="I6" s="316"/>
      <c r="J6" s="316"/>
      <c r="K6" s="316"/>
      <c r="L6" s="316"/>
      <c r="M6" s="316"/>
      <c r="N6" s="316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</row>
    <row r="7" spans="1:33" ht="4" customHeight="1" thickBot="1" x14ac:dyDescent="0.25"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</row>
    <row r="8" spans="1:33" s="362" customFormat="1" ht="39" customHeight="1" thickBot="1" x14ac:dyDescent="0.35">
      <c r="A8" s="362" t="s">
        <v>12</v>
      </c>
      <c r="B8" s="405" t="s">
        <v>37</v>
      </c>
      <c r="C8" s="406" t="s">
        <v>152</v>
      </c>
      <c r="D8" s="407" t="s">
        <v>153</v>
      </c>
      <c r="E8" s="407" t="s">
        <v>47</v>
      </c>
      <c r="F8" s="407" t="s">
        <v>313</v>
      </c>
      <c r="G8" s="407" t="s">
        <v>309</v>
      </c>
      <c r="H8" s="407" t="s">
        <v>154</v>
      </c>
      <c r="I8" s="407" t="s">
        <v>312</v>
      </c>
      <c r="J8" s="407" t="s">
        <v>310</v>
      </c>
      <c r="K8" s="407" t="s">
        <v>311</v>
      </c>
      <c r="L8" s="407" t="s">
        <v>155</v>
      </c>
      <c r="M8" s="407" t="s">
        <v>156</v>
      </c>
      <c r="N8" s="407" t="s">
        <v>157</v>
      </c>
      <c r="O8" s="408" t="s">
        <v>158</v>
      </c>
      <c r="P8" s="504"/>
      <c r="Q8" s="504"/>
      <c r="R8" s="504"/>
      <c r="S8" s="504"/>
      <c r="T8" s="363"/>
      <c r="U8" s="504"/>
      <c r="V8" s="504"/>
      <c r="W8" s="504"/>
      <c r="X8" s="363"/>
      <c r="Y8" s="503"/>
      <c r="Z8" s="503"/>
      <c r="AA8" s="363"/>
      <c r="AB8" s="364"/>
      <c r="AC8" s="364"/>
      <c r="AD8" s="364"/>
      <c r="AE8" s="364"/>
    </row>
    <row r="9" spans="1:33" s="362" customFormat="1" ht="15" customHeight="1" x14ac:dyDescent="0.3">
      <c r="B9" s="409" t="s">
        <v>289</v>
      </c>
      <c r="C9" s="410" t="s">
        <v>298</v>
      </c>
      <c r="D9" s="411">
        <v>2437.7711060146021</v>
      </c>
      <c r="E9" s="412">
        <v>2476.4651721694995</v>
      </c>
      <c r="F9" s="412">
        <v>236.63313760099683</v>
      </c>
      <c r="G9" s="413">
        <v>0.17699999999999999</v>
      </c>
      <c r="H9" s="414">
        <v>26.570233921281002</v>
      </c>
      <c r="I9" s="414">
        <v>23.687798227675525</v>
      </c>
      <c r="J9" s="415">
        <f t="shared" ref="J9:J17" si="0">E9/F9</f>
        <v>10.465420005313183</v>
      </c>
      <c r="K9" s="414">
        <v>12.213679694272971</v>
      </c>
      <c r="L9" s="414">
        <v>6.6726192190635274</v>
      </c>
      <c r="M9" s="416">
        <v>9.6482381820678698E-2</v>
      </c>
      <c r="N9" s="417">
        <v>-0.12853979214619524</v>
      </c>
      <c r="O9" s="418">
        <v>-3.1764033100633776E-2</v>
      </c>
      <c r="P9" s="143"/>
      <c r="Q9" s="371"/>
      <c r="R9" s="371"/>
      <c r="S9" s="375"/>
      <c r="T9" s="371"/>
      <c r="U9" s="375"/>
      <c r="V9" s="365"/>
      <c r="W9" s="365"/>
      <c r="X9" s="364"/>
      <c r="Y9" s="365"/>
      <c r="Z9" s="365"/>
      <c r="AA9" s="364"/>
      <c r="AB9" s="364"/>
      <c r="AC9" s="364"/>
      <c r="AD9" s="364"/>
      <c r="AE9" s="364"/>
    </row>
    <row r="10" spans="1:33" s="362" customFormat="1" ht="15" customHeight="1" x14ac:dyDescent="0.3">
      <c r="B10" s="419" t="s">
        <v>290</v>
      </c>
      <c r="C10" s="420" t="s">
        <v>299</v>
      </c>
      <c r="D10" s="421">
        <v>1639.6653591765271</v>
      </c>
      <c r="E10" s="422">
        <v>1699.9212696999998</v>
      </c>
      <c r="F10" s="423">
        <v>88.921852641229989</v>
      </c>
      <c r="G10" s="424">
        <v>0.40260000000000001</v>
      </c>
      <c r="H10" s="425">
        <v>42.50310599620741</v>
      </c>
      <c r="I10" s="425">
        <v>36.111111111111114</v>
      </c>
      <c r="J10" s="425">
        <f t="shared" si="0"/>
        <v>19.117024884294921</v>
      </c>
      <c r="K10" s="425">
        <v>18.495979262672812</v>
      </c>
      <c r="L10" s="425">
        <v>3.0864197530864197</v>
      </c>
      <c r="M10" s="426">
        <v>8.5461044311523404E-2</v>
      </c>
      <c r="N10" s="427">
        <v>0.1280699194238589</v>
      </c>
      <c r="O10" s="428">
        <v>0.10097766273653809</v>
      </c>
      <c r="P10" s="208"/>
      <c r="Q10" s="371"/>
      <c r="R10" s="371"/>
      <c r="S10" s="375"/>
      <c r="T10" s="374"/>
      <c r="U10" s="375"/>
      <c r="V10" s="367"/>
      <c r="W10" s="367"/>
      <c r="X10" s="364"/>
      <c r="Y10" s="368"/>
      <c r="Z10" s="368"/>
      <c r="AA10" s="364"/>
      <c r="AB10" s="369"/>
      <c r="AC10" s="364"/>
      <c r="AD10" s="364"/>
      <c r="AE10" s="364"/>
    </row>
    <row r="11" spans="1:33" s="362" customFormat="1" ht="15" customHeight="1" x14ac:dyDescent="0.3">
      <c r="B11" s="419" t="s">
        <v>291</v>
      </c>
      <c r="C11" s="420" t="s">
        <v>300</v>
      </c>
      <c r="D11" s="421">
        <v>26107.17047281022</v>
      </c>
      <c r="E11" s="422">
        <v>27332.65306601745</v>
      </c>
      <c r="F11" s="423">
        <v>2152.8000558118238</v>
      </c>
      <c r="G11" s="424">
        <v>4.41E-2</v>
      </c>
      <c r="H11" s="425">
        <v>28.66177329529862</v>
      </c>
      <c r="I11" s="425">
        <v>26.292657704239918</v>
      </c>
      <c r="J11" s="425">
        <f t="shared" si="0"/>
        <v>12.696326810392184</v>
      </c>
      <c r="K11" s="425">
        <v>12.607899372673995</v>
      </c>
      <c r="L11" s="425">
        <v>3.515061190406406</v>
      </c>
      <c r="M11" s="426">
        <v>8.5848779678344714E-2</v>
      </c>
      <c r="N11" s="429">
        <v>1.8792540940060051E-2</v>
      </c>
      <c r="O11" s="428">
        <v>8.3042962073173916E-3</v>
      </c>
      <c r="P11" s="208"/>
      <c r="Q11" s="371"/>
      <c r="R11" s="371"/>
      <c r="S11" s="375"/>
      <c r="T11" s="374"/>
      <c r="U11" s="375"/>
      <c r="V11" s="367"/>
      <c r="W11" s="367"/>
      <c r="X11" s="364"/>
      <c r="Y11" s="368"/>
      <c r="Z11" s="368"/>
      <c r="AA11" s="364"/>
      <c r="AB11" s="369"/>
      <c r="AC11" s="364"/>
      <c r="AD11" s="364"/>
      <c r="AE11" s="364"/>
    </row>
    <row r="12" spans="1:33" s="362" customFormat="1" ht="15" customHeight="1" x14ac:dyDescent="0.3">
      <c r="B12" s="419" t="s">
        <v>292</v>
      </c>
      <c r="C12" s="420" t="s">
        <v>301</v>
      </c>
      <c r="D12" s="421">
        <v>112462.242647197</v>
      </c>
      <c r="E12" s="422">
        <v>116824.95967297799</v>
      </c>
      <c r="F12" s="423">
        <v>10121.987358618457</v>
      </c>
      <c r="G12" s="424">
        <v>0.43669999999999998</v>
      </c>
      <c r="H12" s="425">
        <v>26.440064259780552</v>
      </c>
      <c r="I12" s="425">
        <v>22.888864581054474</v>
      </c>
      <c r="J12" s="425">
        <f t="shared" si="0"/>
        <v>11.541701795695914</v>
      </c>
      <c r="K12" s="425">
        <v>11.390083571664531</v>
      </c>
      <c r="L12" s="425">
        <v>2.5574150369893265</v>
      </c>
      <c r="M12" s="426">
        <v>0.111209087371826</v>
      </c>
      <c r="N12" s="429">
        <v>0.11015299546211421</v>
      </c>
      <c r="O12" s="428">
        <v>5.4284432480933155E-2</v>
      </c>
      <c r="P12" s="208"/>
      <c r="Q12" s="371"/>
      <c r="R12" s="371"/>
      <c r="S12" s="375"/>
      <c r="T12" s="374"/>
      <c r="U12" s="375"/>
      <c r="V12" s="367"/>
      <c r="W12" s="367"/>
      <c r="X12" s="364"/>
      <c r="Y12" s="368"/>
      <c r="Z12" s="368"/>
      <c r="AA12" s="364"/>
      <c r="AB12" s="369"/>
      <c r="AC12" s="364"/>
      <c r="AD12" s="364"/>
      <c r="AE12" s="364"/>
    </row>
    <row r="13" spans="1:33" s="362" customFormat="1" ht="15" customHeight="1" x14ac:dyDescent="0.3">
      <c r="B13" s="419" t="s">
        <v>293</v>
      </c>
      <c r="C13" s="420" t="s">
        <v>302</v>
      </c>
      <c r="D13" s="421">
        <v>45067.69276150252</v>
      </c>
      <c r="E13" s="422">
        <v>39898.646745654543</v>
      </c>
      <c r="F13" s="423">
        <v>2467.6488457863948</v>
      </c>
      <c r="G13" s="424">
        <v>0.314</v>
      </c>
      <c r="H13" s="425">
        <v>40.181598731220419</v>
      </c>
      <c r="I13" s="425">
        <v>31.219255661284162</v>
      </c>
      <c r="J13" s="425">
        <f t="shared" si="0"/>
        <v>16.168688998754021</v>
      </c>
      <c r="K13" s="425">
        <v>16.965274864810276</v>
      </c>
      <c r="L13" s="425">
        <v>6.1394799727205829</v>
      </c>
      <c r="M13" s="426">
        <v>0.106173810958862</v>
      </c>
      <c r="N13" s="429">
        <v>0.59348289917683561</v>
      </c>
      <c r="O13" s="428">
        <v>6.397694524495677E-2</v>
      </c>
      <c r="P13" s="208"/>
      <c r="Q13" s="371"/>
      <c r="R13" s="371"/>
      <c r="S13" s="375"/>
      <c r="T13" s="374"/>
      <c r="U13" s="375"/>
      <c r="V13" s="367"/>
      <c r="W13" s="367"/>
      <c r="X13" s="364"/>
      <c r="Y13" s="368"/>
      <c r="Z13" s="368"/>
      <c r="AA13" s="364"/>
      <c r="AB13" s="369"/>
      <c r="AC13" s="364"/>
      <c r="AD13" s="364"/>
      <c r="AE13" s="364"/>
    </row>
    <row r="14" spans="1:33" s="362" customFormat="1" ht="15" customHeight="1" x14ac:dyDescent="0.3">
      <c r="B14" s="419" t="s">
        <v>294</v>
      </c>
      <c r="C14" s="420" t="s">
        <v>303</v>
      </c>
      <c r="D14" s="421">
        <v>5046.7838795515208</v>
      </c>
      <c r="E14" s="422">
        <v>5081.4462496999995</v>
      </c>
      <c r="F14" s="423">
        <v>360.9050211071318</v>
      </c>
      <c r="G14" s="424">
        <v>0.31819999999999998</v>
      </c>
      <c r="H14" s="425">
        <v>23.583327552009266</v>
      </c>
      <c r="I14" s="425">
        <v>22.934959349593498</v>
      </c>
      <c r="J14" s="425">
        <f t="shared" si="0"/>
        <v>14.079732762131931</v>
      </c>
      <c r="K14" s="425">
        <v>13.864832948559769</v>
      </c>
      <c r="L14" s="425">
        <v>2.7434161901427632</v>
      </c>
      <c r="M14" s="426">
        <v>0.153580846786499</v>
      </c>
      <c r="N14" s="429">
        <v>0.17027878500826923</v>
      </c>
      <c r="O14" s="428">
        <v>5.5131363550224959E-3</v>
      </c>
      <c r="P14" s="208"/>
      <c r="Q14" s="371"/>
      <c r="R14" s="371"/>
      <c r="S14" s="375"/>
      <c r="T14" s="374"/>
      <c r="U14" s="375"/>
      <c r="V14" s="367"/>
      <c r="W14" s="367"/>
      <c r="X14" s="364"/>
      <c r="Y14" s="368"/>
      <c r="Z14" s="368"/>
      <c r="AA14" s="364"/>
      <c r="AB14" s="369"/>
      <c r="AC14" s="364"/>
      <c r="AD14" s="364"/>
      <c r="AE14" s="364"/>
    </row>
    <row r="15" spans="1:33" s="362" customFormat="1" ht="15" customHeight="1" x14ac:dyDescent="0.3">
      <c r="B15" s="419" t="s">
        <v>295</v>
      </c>
      <c r="C15" s="420" t="s">
        <v>304</v>
      </c>
      <c r="D15" s="421">
        <v>50760.270254621864</v>
      </c>
      <c r="E15" s="422">
        <v>49071.164565274194</v>
      </c>
      <c r="F15" s="423">
        <v>2044.1542145129742</v>
      </c>
      <c r="G15" s="424">
        <v>0.52259999999999995</v>
      </c>
      <c r="H15" s="425">
        <v>43.521736346678466</v>
      </c>
      <c r="I15" s="425">
        <v>39.741568112133152</v>
      </c>
      <c r="J15" s="425">
        <f t="shared" si="0"/>
        <v>24.005607902222554</v>
      </c>
      <c r="K15" s="425">
        <v>22.506168516821042</v>
      </c>
      <c r="L15" s="425">
        <v>3.3967152232592435</v>
      </c>
      <c r="M15" s="426">
        <v>0.20091968536377</v>
      </c>
      <c r="N15" s="429">
        <v>0.11511134679935565</v>
      </c>
      <c r="O15" s="428">
        <v>7.4612683329890489E-2</v>
      </c>
      <c r="P15" s="208"/>
      <c r="Q15" s="371"/>
      <c r="R15" s="371"/>
      <c r="S15" s="375"/>
      <c r="T15" s="374"/>
      <c r="U15" s="375"/>
      <c r="V15" s="367"/>
      <c r="W15" s="367"/>
      <c r="X15" s="364"/>
      <c r="Y15" s="368"/>
      <c r="Z15" s="368"/>
      <c r="AA15" s="364"/>
      <c r="AB15" s="369"/>
      <c r="AC15" s="364"/>
      <c r="AD15" s="364"/>
      <c r="AE15" s="364"/>
    </row>
    <row r="16" spans="1:33" s="362" customFormat="1" ht="15" customHeight="1" x14ac:dyDescent="0.3">
      <c r="B16" s="419" t="s">
        <v>296</v>
      </c>
      <c r="C16" s="420" t="s">
        <v>305</v>
      </c>
      <c r="D16" s="421">
        <v>33621.476704435045</v>
      </c>
      <c r="E16" s="422">
        <v>39091.182831897589</v>
      </c>
      <c r="F16" s="423">
        <v>2565.8601525149597</v>
      </c>
      <c r="G16" s="424">
        <v>0.66300000000000003</v>
      </c>
      <c r="H16" s="425">
        <v>38.343294441281898</v>
      </c>
      <c r="I16" s="425">
        <v>21.488451668092388</v>
      </c>
      <c r="J16" s="425">
        <f t="shared" si="0"/>
        <v>15.235118248195203</v>
      </c>
      <c r="K16" s="425">
        <v>14.126920247208425</v>
      </c>
      <c r="L16" s="425">
        <v>1.3132342277145015</v>
      </c>
      <c r="M16" s="426">
        <v>5.20920515060425E-2</v>
      </c>
      <c r="N16" s="429">
        <v>0.26989723396969617</v>
      </c>
      <c r="O16" s="428">
        <v>6.9120008287149634E-2</v>
      </c>
      <c r="P16" s="208"/>
      <c r="Q16" s="371"/>
      <c r="R16" s="371"/>
      <c r="S16" s="375"/>
      <c r="T16" s="374"/>
      <c r="U16" s="375"/>
      <c r="V16" s="367"/>
      <c r="W16" s="367"/>
      <c r="X16" s="364"/>
      <c r="Y16" s="368"/>
      <c r="Z16" s="368"/>
      <c r="AA16" s="364"/>
      <c r="AB16" s="369"/>
      <c r="AC16" s="364"/>
      <c r="AD16" s="364"/>
      <c r="AE16" s="364"/>
    </row>
    <row r="17" spans="1:33" s="362" customFormat="1" ht="15" customHeight="1" thickBot="1" x14ac:dyDescent="0.35">
      <c r="B17" s="430" t="s">
        <v>297</v>
      </c>
      <c r="C17" s="431" t="s">
        <v>306</v>
      </c>
      <c r="D17" s="432">
        <v>11429.350006577133</v>
      </c>
      <c r="E17" s="433">
        <v>11725.670703893569</v>
      </c>
      <c r="F17" s="434">
        <v>886.14221818235148</v>
      </c>
      <c r="G17" s="435">
        <v>0.3528</v>
      </c>
      <c r="H17" s="436">
        <v>32.604653743418012</v>
      </c>
      <c r="I17" s="436">
        <v>36.645307380522539</v>
      </c>
      <c r="J17" s="436">
        <f t="shared" si="0"/>
        <v>13.232267308000718</v>
      </c>
      <c r="K17" s="436">
        <v>16.24815172975449</v>
      </c>
      <c r="L17" s="436"/>
      <c r="M17" s="437">
        <v>9.9261617660522494E-2</v>
      </c>
      <c r="N17" s="438">
        <v>-0.25520586576424142</v>
      </c>
      <c r="O17" s="439">
        <v>-1.1051058423918396E-3</v>
      </c>
      <c r="P17" s="208"/>
      <c r="Q17" s="371"/>
      <c r="R17" s="371"/>
      <c r="S17" s="375"/>
      <c r="T17" s="374"/>
      <c r="U17" s="375"/>
      <c r="V17" s="367"/>
      <c r="W17" s="367"/>
      <c r="X17" s="364"/>
      <c r="Y17" s="368"/>
      <c r="Z17" s="368"/>
      <c r="AA17" s="364"/>
      <c r="AB17" s="369"/>
      <c r="AC17" s="364"/>
      <c r="AD17" s="364"/>
      <c r="AE17" s="364"/>
    </row>
    <row r="18" spans="1:33" s="362" customFormat="1" ht="15" customHeight="1" x14ac:dyDescent="0.3">
      <c r="B18" s="440"/>
      <c r="C18" s="441"/>
      <c r="D18" s="440"/>
      <c r="E18" s="440"/>
      <c r="F18" s="440"/>
      <c r="G18" s="442"/>
      <c r="H18" s="440"/>
      <c r="I18" s="440"/>
      <c r="J18" s="440"/>
      <c r="K18" s="440"/>
      <c r="L18" s="440"/>
      <c r="M18" s="443"/>
      <c r="N18" s="443"/>
      <c r="O18" s="443"/>
      <c r="P18" s="208"/>
      <c r="Q18" s="366"/>
      <c r="R18" s="366"/>
      <c r="S18" s="370"/>
      <c r="T18" s="374"/>
      <c r="U18" s="367"/>
      <c r="V18" s="367"/>
      <c r="W18" s="367"/>
      <c r="X18" s="364"/>
      <c r="Y18" s="368"/>
      <c r="Z18" s="368"/>
      <c r="AA18" s="364"/>
      <c r="AB18" s="369"/>
      <c r="AC18" s="364"/>
      <c r="AD18" s="364"/>
      <c r="AE18" s="364"/>
    </row>
    <row r="19" spans="1:33" s="362" customFormat="1" ht="15" customHeight="1" thickBot="1" x14ac:dyDescent="0.35">
      <c r="B19" s="444"/>
      <c r="C19" s="441"/>
      <c r="D19" s="441"/>
      <c r="E19" s="445"/>
      <c r="F19" s="445"/>
      <c r="G19" s="446"/>
      <c r="H19" s="445"/>
      <c r="I19" s="445"/>
      <c r="J19" s="445"/>
      <c r="K19" s="445"/>
      <c r="L19" s="445"/>
      <c r="M19" s="440"/>
      <c r="N19" s="447"/>
      <c r="O19" s="447"/>
      <c r="P19" s="207"/>
      <c r="Q19" s="364"/>
      <c r="R19" s="364"/>
      <c r="S19" s="364"/>
      <c r="T19" s="364"/>
      <c r="U19" s="364"/>
      <c r="V19" s="364"/>
      <c r="W19" s="364"/>
      <c r="X19" s="364"/>
      <c r="Y19" s="364"/>
      <c r="Z19" s="364"/>
      <c r="AA19" s="364"/>
      <c r="AB19" s="364"/>
      <c r="AC19" s="364"/>
      <c r="AD19" s="364"/>
      <c r="AE19" s="364"/>
    </row>
    <row r="20" spans="1:33" s="362" customFormat="1" ht="21" thickBot="1" x14ac:dyDescent="0.35">
      <c r="B20" s="448" t="s">
        <v>288</v>
      </c>
      <c r="C20" s="449" t="s">
        <v>308</v>
      </c>
      <c r="D20" s="450">
        <v>13582</v>
      </c>
      <c r="E20" s="450">
        <f>(' DCF - WACC From Model'!C71-('Cash Flows'!E53/1000))</f>
        <v>14189.79025</v>
      </c>
      <c r="F20" s="450">
        <v>967.45501372164335</v>
      </c>
      <c r="G20" s="451">
        <f>8658.771%/100</f>
        <v>0.86587710000000007</v>
      </c>
      <c r="H20" s="452">
        <f>J48/'Income Statement'!M29</f>
        <v>34.059600638977642</v>
      </c>
      <c r="I20" s="452">
        <f>J48/'Income Statement'!R29</f>
        <v>29.6545994206876</v>
      </c>
      <c r="J20" s="452">
        <f>E20/F20</f>
        <v>14.667131854962605</v>
      </c>
      <c r="K20" s="452">
        <v>13.75</v>
      </c>
      <c r="L20" s="452">
        <v>2.1775778584526178</v>
      </c>
      <c r="M20" s="453">
        <f>1327.60763168335%/100</f>
        <v>0.13276076316833502</v>
      </c>
      <c r="N20" s="453">
        <v>0.40450000000000003</v>
      </c>
      <c r="O20" s="454">
        <v>8.7800000000000003E-2</v>
      </c>
      <c r="P20" s="208"/>
      <c r="Q20" s="366"/>
      <c r="R20" s="366"/>
      <c r="S20" s="366"/>
      <c r="T20" s="364"/>
      <c r="U20" s="367"/>
      <c r="V20" s="367"/>
      <c r="W20" s="367"/>
      <c r="X20" s="364"/>
      <c r="Y20" s="368"/>
      <c r="Z20" s="368"/>
      <c r="AA20" s="364"/>
      <c r="AB20" s="369"/>
      <c r="AC20" s="364"/>
      <c r="AD20" s="364"/>
      <c r="AE20" s="364"/>
    </row>
    <row r="21" spans="1:33" s="362" customFormat="1" ht="15" customHeight="1" thickBot="1" x14ac:dyDescent="0.35">
      <c r="B21" s="444"/>
      <c r="C21" s="441"/>
      <c r="D21" s="441"/>
      <c r="E21" s="441"/>
      <c r="F21" s="441"/>
      <c r="G21" s="441"/>
      <c r="H21" s="445"/>
      <c r="I21" s="445"/>
      <c r="J21" s="445"/>
      <c r="K21" s="445"/>
      <c r="L21" s="445"/>
      <c r="M21" s="440"/>
      <c r="N21" s="440"/>
      <c r="O21" s="440"/>
      <c r="P21" s="40"/>
      <c r="Q21" s="364"/>
      <c r="R21" s="364"/>
      <c r="S21" s="364"/>
      <c r="T21" s="364"/>
      <c r="U21" s="367"/>
      <c r="V21" s="367"/>
      <c r="W21" s="367"/>
      <c r="X21" s="367"/>
      <c r="Y21" s="367"/>
      <c r="Z21" s="367"/>
      <c r="AA21" s="364"/>
      <c r="AB21" s="364"/>
      <c r="AC21" s="364"/>
      <c r="AD21" s="364"/>
      <c r="AE21" s="364"/>
    </row>
    <row r="22" spans="1:33" s="362" customFormat="1" ht="15" customHeight="1" x14ac:dyDescent="0.3">
      <c r="B22" s="444"/>
      <c r="C22" s="441"/>
      <c r="D22" s="455"/>
      <c r="E22" s="444"/>
      <c r="F22" s="456" t="s">
        <v>314</v>
      </c>
      <c r="G22" s="457">
        <f t="shared" ref="G22:O22" si="1">MAX(G9:G17)</f>
        <v>0.66300000000000003</v>
      </c>
      <c r="H22" s="458">
        <f t="shared" si="1"/>
        <v>43.521736346678466</v>
      </c>
      <c r="I22" s="458">
        <f t="shared" si="1"/>
        <v>39.741568112133152</v>
      </c>
      <c r="J22" s="458">
        <f t="shared" si="1"/>
        <v>24.005607902222554</v>
      </c>
      <c r="K22" s="458">
        <f t="shared" si="1"/>
        <v>22.506168516821042</v>
      </c>
      <c r="L22" s="458">
        <f t="shared" si="1"/>
        <v>6.6726192190635274</v>
      </c>
      <c r="M22" s="457">
        <f t="shared" si="1"/>
        <v>0.20091968536377</v>
      </c>
      <c r="N22" s="457">
        <f t="shared" si="1"/>
        <v>0.59348289917683561</v>
      </c>
      <c r="O22" s="459">
        <f t="shared" si="1"/>
        <v>0.10097766273653809</v>
      </c>
      <c r="P22" s="372"/>
      <c r="Q22" s="364"/>
      <c r="R22" s="364"/>
      <c r="S22" s="364"/>
      <c r="T22" s="364"/>
      <c r="U22" s="367"/>
      <c r="V22" s="367"/>
      <c r="W22" s="367"/>
      <c r="X22" s="367"/>
      <c r="Y22" s="367"/>
      <c r="Z22" s="367"/>
      <c r="AA22" s="364"/>
      <c r="AB22" s="364"/>
      <c r="AC22" s="364"/>
      <c r="AD22" s="364"/>
      <c r="AE22" s="364"/>
    </row>
    <row r="23" spans="1:33" s="362" customFormat="1" ht="15" customHeight="1" x14ac:dyDescent="0.3">
      <c r="B23" s="444"/>
      <c r="C23" s="441"/>
      <c r="D23" s="444"/>
      <c r="E23" s="444"/>
      <c r="F23" s="460" t="s">
        <v>48</v>
      </c>
      <c r="G23" s="461">
        <f t="shared" ref="G23:O23" si="2">_xlfn.QUARTILE.EXC(G9:G17,3)</f>
        <v>0.47964999999999997</v>
      </c>
      <c r="H23" s="462">
        <f t="shared" si="2"/>
        <v>41.342352363713914</v>
      </c>
      <c r="I23" s="462">
        <f t="shared" si="2"/>
        <v>36.378209245816826</v>
      </c>
      <c r="J23" s="462">
        <f t="shared" si="2"/>
        <v>17.642856941524471</v>
      </c>
      <c r="K23" s="462">
        <f t="shared" si="2"/>
        <v>17.730627063741544</v>
      </c>
      <c r="L23" s="462">
        <f t="shared" si="2"/>
        <v>5.4833752771420388</v>
      </c>
      <c r="M23" s="461">
        <f t="shared" si="2"/>
        <v>0.13239496707916248</v>
      </c>
      <c r="N23" s="461">
        <f t="shared" si="2"/>
        <v>0.22008800948898272</v>
      </c>
      <c r="O23" s="463">
        <f t="shared" si="2"/>
        <v>7.1866345808520055E-2</v>
      </c>
      <c r="P23" s="373"/>
      <c r="Q23" s="364"/>
      <c r="R23" s="364"/>
      <c r="S23" s="364"/>
      <c r="T23" s="364"/>
      <c r="U23" s="367"/>
      <c r="V23" s="367"/>
      <c r="W23" s="367"/>
      <c r="X23" s="367"/>
      <c r="Y23" s="367"/>
      <c r="Z23" s="367"/>
      <c r="AA23" s="364"/>
      <c r="AB23" s="364"/>
      <c r="AC23" s="364"/>
      <c r="AD23" s="364"/>
      <c r="AE23" s="364"/>
    </row>
    <row r="24" spans="1:33" s="362" customFormat="1" ht="15" customHeight="1" x14ac:dyDescent="0.3">
      <c r="B24" s="444"/>
      <c r="C24" s="441"/>
      <c r="D24" s="444"/>
      <c r="E24" s="444"/>
      <c r="F24" s="464" t="s">
        <v>49</v>
      </c>
      <c r="G24" s="465">
        <f t="shared" ref="G24:O24" si="3">_xlfn.QUARTILE.EXC(G9:G17,2)</f>
        <v>0.3528</v>
      </c>
      <c r="H24" s="466">
        <f t="shared" si="3"/>
        <v>32.604653743418012</v>
      </c>
      <c r="I24" s="466">
        <f t="shared" si="3"/>
        <v>26.292657704239918</v>
      </c>
      <c r="J24" s="466">
        <f t="shared" si="3"/>
        <v>14.079732762131931</v>
      </c>
      <c r="K24" s="466">
        <f t="shared" si="3"/>
        <v>14.126920247208425</v>
      </c>
      <c r="L24" s="466">
        <f t="shared" si="3"/>
        <v>3.2415674881728318</v>
      </c>
      <c r="M24" s="465">
        <f t="shared" si="3"/>
        <v>9.9261617660522494E-2</v>
      </c>
      <c r="N24" s="465">
        <f t="shared" si="3"/>
        <v>0.11511134679935565</v>
      </c>
      <c r="O24" s="467">
        <f t="shared" si="3"/>
        <v>5.4284432480933155E-2</v>
      </c>
      <c r="P24" s="315"/>
      <c r="Q24" s="364"/>
      <c r="R24" s="364"/>
      <c r="S24" s="364"/>
      <c r="T24" s="364"/>
      <c r="U24" s="367"/>
      <c r="V24" s="367"/>
      <c r="W24" s="367"/>
      <c r="X24" s="367"/>
      <c r="Y24" s="367"/>
      <c r="Z24" s="367"/>
      <c r="AA24" s="364"/>
      <c r="AB24" s="369"/>
      <c r="AC24" s="364"/>
      <c r="AD24" s="364"/>
      <c r="AE24" s="364"/>
    </row>
    <row r="25" spans="1:33" s="362" customFormat="1" ht="15" customHeight="1" x14ac:dyDescent="0.3">
      <c r="B25" s="444"/>
      <c r="C25" s="441"/>
      <c r="D25" s="444"/>
      <c r="E25" s="444"/>
      <c r="F25" s="464" t="s">
        <v>50</v>
      </c>
      <c r="G25" s="465">
        <f t="shared" ref="G25:O25" si="4">AVERAGE(G9:G17)</f>
        <v>0.3590000000000001</v>
      </c>
      <c r="H25" s="466">
        <f t="shared" si="4"/>
        <v>33.601087587463958</v>
      </c>
      <c r="I25" s="466">
        <f t="shared" si="4"/>
        <v>29.001108199522978</v>
      </c>
      <c r="J25" s="466">
        <f t="shared" si="4"/>
        <v>15.171320968333402</v>
      </c>
      <c r="K25" s="466">
        <f t="shared" si="4"/>
        <v>15.379887800937588</v>
      </c>
      <c r="L25" s="466">
        <f t="shared" si="4"/>
        <v>3.6780451016728466</v>
      </c>
      <c r="M25" s="465">
        <f t="shared" si="4"/>
        <v>0.11011436727311875</v>
      </c>
      <c r="N25" s="465">
        <f t="shared" si="4"/>
        <v>0.11356000698552811</v>
      </c>
      <c r="O25" s="467">
        <f t="shared" si="4"/>
        <v>3.8213336188753604E-2</v>
      </c>
      <c r="P25" s="143"/>
      <c r="Q25" s="364"/>
      <c r="R25" s="364"/>
      <c r="S25" s="364"/>
      <c r="T25" s="364"/>
      <c r="U25" s="367"/>
      <c r="V25" s="367"/>
      <c r="W25" s="367"/>
      <c r="X25" s="367"/>
      <c r="Y25" s="367"/>
      <c r="Z25" s="367"/>
      <c r="AA25" s="364"/>
      <c r="AB25" s="364"/>
      <c r="AC25" s="364"/>
      <c r="AD25" s="364"/>
      <c r="AE25" s="364"/>
    </row>
    <row r="26" spans="1:33" s="362" customFormat="1" ht="15" customHeight="1" x14ac:dyDescent="0.3">
      <c r="B26" s="444"/>
      <c r="C26" s="441"/>
      <c r="D26" s="444"/>
      <c r="E26" s="444"/>
      <c r="F26" s="460" t="s">
        <v>51</v>
      </c>
      <c r="G26" s="461">
        <f t="shared" ref="G26:O26" si="5">_xlfn.QUARTILE.EXC(G9:G17,1)</f>
        <v>0.2455</v>
      </c>
      <c r="H26" s="462">
        <f t="shared" si="5"/>
        <v>26.505149090530779</v>
      </c>
      <c r="I26" s="462">
        <f t="shared" si="5"/>
        <v>22.911911965323988</v>
      </c>
      <c r="J26" s="462">
        <f t="shared" si="5"/>
        <v>12.11901430304405</v>
      </c>
      <c r="K26" s="462">
        <f t="shared" si="5"/>
        <v>12.410789533473483</v>
      </c>
      <c r="L26" s="462">
        <f t="shared" si="5"/>
        <v>2.6039153252776854</v>
      </c>
      <c r="M26" s="461">
        <f t="shared" si="5"/>
        <v>8.5654911994934052E-2</v>
      </c>
      <c r="N26" s="468">
        <f t="shared" si="5"/>
        <v>-5.4873625603067591E-2</v>
      </c>
      <c r="O26" s="463">
        <f t="shared" si="5"/>
        <v>2.2040152563153285E-3</v>
      </c>
      <c r="P26" s="143"/>
      <c r="Q26" s="364"/>
      <c r="R26" s="364"/>
      <c r="S26" s="364"/>
      <c r="T26" s="364"/>
      <c r="U26" s="367"/>
      <c r="V26" s="367"/>
      <c r="W26" s="367"/>
      <c r="X26" s="367"/>
      <c r="Y26" s="367"/>
      <c r="Z26" s="367"/>
      <c r="AA26" s="364"/>
      <c r="AB26" s="364"/>
      <c r="AC26" s="364"/>
      <c r="AD26" s="364"/>
      <c r="AE26" s="364"/>
    </row>
    <row r="27" spans="1:33" s="362" customFormat="1" ht="15" customHeight="1" thickBot="1" x14ac:dyDescent="0.35">
      <c r="B27" s="444"/>
      <c r="C27" s="441"/>
      <c r="D27" s="444"/>
      <c r="E27" s="444"/>
      <c r="F27" s="469" t="s">
        <v>52</v>
      </c>
      <c r="G27" s="470">
        <f t="shared" ref="G27:O27" si="6">MIN(G9:G17)</f>
        <v>4.41E-2</v>
      </c>
      <c r="H27" s="471">
        <f t="shared" si="6"/>
        <v>23.583327552009266</v>
      </c>
      <c r="I27" s="471">
        <f t="shared" si="6"/>
        <v>21.488451668092388</v>
      </c>
      <c r="J27" s="471">
        <f t="shared" si="6"/>
        <v>10.465420005313183</v>
      </c>
      <c r="K27" s="471">
        <f t="shared" si="6"/>
        <v>11.390083571664531</v>
      </c>
      <c r="L27" s="471">
        <f t="shared" si="6"/>
        <v>1.3132342277145015</v>
      </c>
      <c r="M27" s="470">
        <f t="shared" si="6"/>
        <v>5.20920515060425E-2</v>
      </c>
      <c r="N27" s="472">
        <f t="shared" si="6"/>
        <v>-0.25520586576424142</v>
      </c>
      <c r="O27" s="473">
        <f t="shared" si="6"/>
        <v>-3.1764033100633776E-2</v>
      </c>
      <c r="P27" s="143"/>
      <c r="Q27" s="364"/>
      <c r="R27" s="364"/>
      <c r="S27" s="364"/>
      <c r="T27" s="364"/>
      <c r="U27" s="364"/>
      <c r="V27" s="364"/>
      <c r="W27" s="364"/>
      <c r="X27" s="364"/>
      <c r="Y27" s="364"/>
      <c r="Z27" s="364"/>
      <c r="AA27" s="364"/>
      <c r="AB27" s="364"/>
      <c r="AC27" s="364"/>
      <c r="AD27" s="364"/>
      <c r="AE27" s="364"/>
    </row>
    <row r="28" spans="1:33" ht="15" customHeight="1" x14ac:dyDescent="0.2">
      <c r="B28" s="360"/>
      <c r="C28" s="316"/>
      <c r="D28" s="316"/>
      <c r="E28" s="316"/>
      <c r="F28" s="316"/>
      <c r="G28" s="316"/>
      <c r="H28" s="41"/>
      <c r="I28" s="41"/>
      <c r="J28" s="41"/>
      <c r="K28" s="41"/>
      <c r="L28" s="41"/>
      <c r="M28" s="41"/>
      <c r="N28" s="41"/>
      <c r="O28" s="40"/>
      <c r="P28" s="40"/>
      <c r="Q28" s="40"/>
      <c r="R28" s="40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</row>
    <row r="29" spans="1:33" ht="15" customHeight="1" x14ac:dyDescent="0.2">
      <c r="B29" s="360"/>
      <c r="C29" s="316"/>
      <c r="D29" s="316"/>
      <c r="E29" s="316"/>
      <c r="F29" s="316"/>
      <c r="G29" s="316"/>
      <c r="H29" s="41"/>
      <c r="I29" s="41"/>
      <c r="J29" s="41"/>
      <c r="K29" s="41"/>
      <c r="L29" s="41"/>
      <c r="M29" s="41"/>
      <c r="N29" s="40"/>
      <c r="O29" s="40"/>
      <c r="P29" s="40"/>
      <c r="Q29" s="40"/>
      <c r="R29" s="40"/>
      <c r="S29" s="143"/>
      <c r="T29" s="143"/>
      <c r="U29" s="143"/>
      <c r="V29" s="143"/>
      <c r="W29" s="510"/>
      <c r="X29" s="510"/>
      <c r="Y29" s="510"/>
      <c r="Z29" s="510"/>
      <c r="AA29" s="510"/>
      <c r="AB29" s="510"/>
      <c r="AC29" s="143"/>
      <c r="AD29" s="143"/>
      <c r="AE29" s="143"/>
      <c r="AF29" s="143"/>
      <c r="AG29" s="143"/>
    </row>
    <row r="30" spans="1:33" ht="15" customHeight="1" x14ac:dyDescent="0.2">
      <c r="B30" s="360"/>
      <c r="C30" s="316"/>
      <c r="D30" s="316"/>
      <c r="E30" s="316"/>
      <c r="F30" s="316"/>
      <c r="G30" s="316"/>
      <c r="H30" s="108"/>
      <c r="I30" s="108"/>
      <c r="J30" s="108"/>
      <c r="K30" s="509"/>
      <c r="L30" s="509"/>
      <c r="M30" s="509"/>
      <c r="N30" s="509"/>
      <c r="O30" s="40"/>
      <c r="P30" s="40"/>
      <c r="Q30" s="40"/>
      <c r="R30" s="40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</row>
    <row r="31" spans="1:33" ht="14" customHeight="1" x14ac:dyDescent="0.2">
      <c r="B31" s="360"/>
      <c r="C31" s="316"/>
      <c r="D31" s="316"/>
      <c r="E31" s="316"/>
      <c r="F31" s="316"/>
      <c r="G31" s="316"/>
      <c r="H31" s="387"/>
      <c r="I31" s="388" t="s">
        <v>328</v>
      </c>
      <c r="J31" s="388">
        <f>'Income Statement'!S29</f>
        <v>2.7819913180478442</v>
      </c>
      <c r="K31" s="387"/>
      <c r="L31" s="387"/>
      <c r="M31" s="373"/>
      <c r="N31" s="373"/>
      <c r="O31" s="40"/>
      <c r="P31" s="40"/>
      <c r="Q31" s="40"/>
      <c r="R31" s="40"/>
      <c r="S31" s="143"/>
      <c r="T31" s="143"/>
      <c r="U31" s="143"/>
      <c r="V31" s="143"/>
      <c r="W31" s="209"/>
      <c r="X31" s="209"/>
      <c r="Y31" s="209"/>
      <c r="Z31" s="209"/>
      <c r="AA31" s="209"/>
      <c r="AB31" s="209"/>
      <c r="AC31" s="143"/>
      <c r="AD31" s="143"/>
      <c r="AE31" s="143"/>
      <c r="AF31" s="143"/>
      <c r="AG31" s="143"/>
    </row>
    <row r="32" spans="1:33" ht="14" customHeight="1" thickBot="1" x14ac:dyDescent="0.25">
      <c r="A32" s="1" t="s">
        <v>12</v>
      </c>
      <c r="B32" s="361"/>
      <c r="C32" s="316"/>
      <c r="D32" s="316"/>
      <c r="E32" s="316"/>
      <c r="F32" s="316"/>
      <c r="G32" s="316"/>
      <c r="H32" s="379"/>
      <c r="I32" s="379"/>
      <c r="J32" s="379"/>
      <c r="K32" s="221"/>
      <c r="L32" s="221"/>
      <c r="M32" s="221"/>
      <c r="N32" s="221"/>
      <c r="O32" s="40"/>
      <c r="P32" s="40"/>
      <c r="Q32" s="40"/>
      <c r="R32" s="40"/>
      <c r="S32" s="143"/>
      <c r="T32" s="143"/>
      <c r="U32" s="143"/>
      <c r="V32" s="143"/>
      <c r="W32" s="143"/>
      <c r="X32" s="143"/>
      <c r="Y32" s="211"/>
      <c r="Z32" s="211"/>
      <c r="AA32" s="211"/>
      <c r="AB32" s="211"/>
      <c r="AC32" s="143"/>
      <c r="AD32" s="143"/>
      <c r="AE32" s="143"/>
      <c r="AF32" s="143"/>
      <c r="AG32" s="143"/>
    </row>
    <row r="33" spans="1:33" x14ac:dyDescent="0.2">
      <c r="B33" s="40"/>
      <c r="C33" s="40"/>
      <c r="D33" s="40"/>
      <c r="E33" s="505" t="s">
        <v>333</v>
      </c>
      <c r="F33" s="505"/>
      <c r="G33" s="40"/>
      <c r="H33" s="506" t="s">
        <v>312</v>
      </c>
      <c r="I33" s="507"/>
      <c r="J33" s="507"/>
      <c r="K33" s="507"/>
      <c r="L33" s="508"/>
      <c r="M33" s="40"/>
      <c r="N33" s="40"/>
      <c r="O33" s="40"/>
      <c r="P33" s="40"/>
      <c r="Q33" s="40"/>
      <c r="R33" s="40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</row>
    <row r="34" spans="1:33" x14ac:dyDescent="0.2">
      <c r="B34" s="40"/>
      <c r="C34" s="42"/>
      <c r="D34" s="42"/>
      <c r="E34" s="505"/>
      <c r="F34" s="505"/>
      <c r="G34" s="42"/>
      <c r="H34" s="380">
        <f>I25-2</f>
        <v>27.001108199522978</v>
      </c>
      <c r="I34" s="381">
        <f>H34+1</f>
        <v>28.001108199522978</v>
      </c>
      <c r="J34" s="381">
        <f>I34+1</f>
        <v>29.001108199522978</v>
      </c>
      <c r="K34" s="381">
        <f>J34+1</f>
        <v>30.001108199522978</v>
      </c>
      <c r="L34" s="381">
        <f>K34+1</f>
        <v>31.001108199522978</v>
      </c>
      <c r="M34" s="40"/>
      <c r="N34" s="40"/>
      <c r="O34" s="40"/>
      <c r="P34" s="40"/>
      <c r="Q34" s="40"/>
      <c r="R34" s="40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</row>
    <row r="35" spans="1:33" ht="15" thickBot="1" x14ac:dyDescent="0.25">
      <c r="B35" s="40"/>
      <c r="C35" s="42"/>
      <c r="D35" s="50"/>
      <c r="E35" s="505"/>
      <c r="F35" s="505"/>
      <c r="G35" s="50"/>
      <c r="H35" s="383" t="e">
        <f>#REF!*H34/$I$20</f>
        <v>#REF!</v>
      </c>
      <c r="I35" s="384" t="e">
        <f>#REF!*I34/$I$20</f>
        <v>#REF!</v>
      </c>
      <c r="J35" s="384" t="e">
        <f>#REF!*J34/$I$20</f>
        <v>#REF!</v>
      </c>
      <c r="K35" s="384" t="e">
        <f>#REF!*K34/$I$20</f>
        <v>#REF!</v>
      </c>
      <c r="L35" s="385" t="e">
        <f>#REF!*L34/$I$20</f>
        <v>#REF!</v>
      </c>
      <c r="M35" s="40"/>
      <c r="N35" s="40"/>
      <c r="O35" s="40"/>
      <c r="P35" s="40"/>
      <c r="Q35" s="40"/>
      <c r="R35" s="40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</row>
    <row r="36" spans="1:33" ht="15" thickBot="1" x14ac:dyDescent="0.25">
      <c r="B36" s="40"/>
      <c r="C36" s="42"/>
      <c r="D36" s="50"/>
      <c r="E36" s="505"/>
      <c r="F36" s="505"/>
      <c r="G36" s="5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</row>
    <row r="37" spans="1:33" ht="14" customHeight="1" x14ac:dyDescent="0.2">
      <c r="B37" s="40"/>
      <c r="C37" s="42"/>
      <c r="D37" s="42"/>
      <c r="E37" s="505"/>
      <c r="F37" s="505"/>
      <c r="G37" s="42"/>
      <c r="H37" s="506" t="s">
        <v>316</v>
      </c>
      <c r="I37" s="507"/>
      <c r="J37" s="507"/>
      <c r="K37" s="507"/>
      <c r="L37" s="508"/>
      <c r="M37" s="108"/>
      <c r="N37" s="108"/>
      <c r="O37" s="40"/>
      <c r="P37" s="40"/>
      <c r="Q37" s="40"/>
      <c r="R37" s="40"/>
    </row>
    <row r="38" spans="1:33" x14ac:dyDescent="0.2">
      <c r="B38" s="40"/>
      <c r="C38" s="42"/>
      <c r="D38" s="50"/>
      <c r="E38" s="505"/>
      <c r="F38" s="505"/>
      <c r="G38" s="50"/>
      <c r="H38" s="380">
        <f>I38-0.75</f>
        <v>13.5</v>
      </c>
      <c r="I38" s="381">
        <f>J38-0.75</f>
        <v>14.25</v>
      </c>
      <c r="J38" s="381">
        <v>15</v>
      </c>
      <c r="K38" s="381">
        <v>15.75</v>
      </c>
      <c r="L38" s="382">
        <f>K38+0.75</f>
        <v>16.5</v>
      </c>
      <c r="M38" s="373"/>
      <c r="N38" s="373"/>
      <c r="O38" s="40"/>
      <c r="P38" s="40"/>
      <c r="Q38" s="40"/>
      <c r="R38" s="40"/>
    </row>
    <row r="39" spans="1:33" ht="15" thickBot="1" x14ac:dyDescent="0.25">
      <c r="A39" s="1" t="s">
        <v>12</v>
      </c>
      <c r="B39" s="45"/>
      <c r="C39" s="42"/>
      <c r="D39" s="50"/>
      <c r="E39" s="505"/>
      <c r="F39" s="505"/>
      <c r="G39" s="50"/>
      <c r="H39" s="383" t="e">
        <f>#REF!*H38/$K$20</f>
        <v>#REF!</v>
      </c>
      <c r="I39" s="384" t="e">
        <f>#REF!*I38/$K$20</f>
        <v>#REF!</v>
      </c>
      <c r="J39" s="384" t="e">
        <f>#REF!*J38/$K$20</f>
        <v>#REF!</v>
      </c>
      <c r="K39" s="384" t="e">
        <f>#REF!*K38/$K$20</f>
        <v>#REF!</v>
      </c>
      <c r="L39" s="385" t="e">
        <f>#REF!*L38/$K$20</f>
        <v>#REF!</v>
      </c>
      <c r="M39" s="221"/>
      <c r="N39" s="221"/>
      <c r="O39" s="40"/>
      <c r="P39" s="40"/>
      <c r="Q39" s="40"/>
      <c r="R39" s="40"/>
    </row>
    <row r="40" spans="1:33" x14ac:dyDescent="0.2">
      <c r="B40" s="40"/>
      <c r="C40" s="42"/>
      <c r="D40" s="50"/>
      <c r="E40" s="505"/>
      <c r="F40" s="505"/>
      <c r="G40" s="5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</row>
    <row r="41" spans="1:33" x14ac:dyDescent="0.2">
      <c r="B41" s="40"/>
      <c r="C41" s="42"/>
      <c r="D41" s="50"/>
      <c r="E41" s="50"/>
      <c r="F41" s="50"/>
      <c r="G41" s="5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</row>
    <row r="42" spans="1:33" x14ac:dyDescent="0.2">
      <c r="B42" s="40"/>
      <c r="C42" s="42"/>
      <c r="D42" s="50"/>
      <c r="E42" s="50"/>
      <c r="F42" s="50"/>
      <c r="G42" s="5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</row>
    <row r="43" spans="1:33" x14ac:dyDescent="0.2">
      <c r="B43" s="40"/>
      <c r="C43" s="42"/>
      <c r="D43" s="50"/>
      <c r="E43" s="50"/>
      <c r="F43" s="50"/>
      <c r="G43" s="5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</row>
    <row r="44" spans="1:33" x14ac:dyDescent="0.2">
      <c r="B44" s="40"/>
      <c r="C44" s="42"/>
      <c r="D44" s="50"/>
      <c r="E44" s="50"/>
      <c r="F44" s="50"/>
      <c r="G44" s="5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</row>
    <row r="45" spans="1:33" ht="14" customHeight="1" x14ac:dyDescent="0.2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</row>
    <row r="46" spans="1:33" ht="14" customHeight="1" x14ac:dyDescent="0.2">
      <c r="A46" s="1" t="s">
        <v>12</v>
      </c>
      <c r="B46" s="45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</row>
    <row r="47" spans="1:33" ht="14" customHeight="1" x14ac:dyDescent="0.2">
      <c r="A47" s="1" t="s">
        <v>10</v>
      </c>
      <c r="B47" s="40"/>
      <c r="C47" s="42"/>
      <c r="D47" s="42"/>
      <c r="E47" s="42"/>
      <c r="F47" s="42"/>
      <c r="G47" s="42"/>
      <c r="H47" s="47"/>
      <c r="I47" s="47"/>
      <c r="J47" s="47"/>
      <c r="K47" s="47"/>
      <c r="L47" s="47"/>
      <c r="M47" s="47"/>
      <c r="N47" s="47"/>
      <c r="O47" s="40"/>
      <c r="P47" s="40"/>
      <c r="Q47" s="40"/>
      <c r="R47" s="40"/>
    </row>
    <row r="48" spans="1:33" ht="14" customHeight="1" x14ac:dyDescent="0.2">
      <c r="B48" s="40"/>
      <c r="C48" s="42"/>
      <c r="D48" s="42"/>
      <c r="E48" s="42"/>
      <c r="F48" s="42"/>
      <c r="G48" s="42"/>
      <c r="H48" s="47" t="s">
        <v>315</v>
      </c>
      <c r="I48" s="47"/>
      <c r="J48" s="376">
        <v>71.89</v>
      </c>
      <c r="K48" s="47"/>
      <c r="L48" s="47"/>
      <c r="M48" s="47"/>
      <c r="N48" s="47"/>
    </row>
    <row r="49" spans="1:14" ht="14" customHeight="1" x14ac:dyDescent="0.2">
      <c r="B49" s="40"/>
      <c r="C49" s="42"/>
      <c r="D49" s="42"/>
      <c r="E49" s="42"/>
      <c r="F49" s="42"/>
      <c r="G49" s="42"/>
      <c r="H49" s="47" t="s">
        <v>284</v>
      </c>
      <c r="I49" s="47"/>
      <c r="J49" s="94">
        <v>1.24</v>
      </c>
      <c r="K49" s="47"/>
      <c r="L49" s="47"/>
      <c r="M49" s="47"/>
      <c r="N49" s="47"/>
    </row>
    <row r="50" spans="1:14" ht="13.5" customHeight="1" x14ac:dyDescent="0.2">
      <c r="B50" s="40"/>
      <c r="C50" s="42"/>
      <c r="D50" s="42"/>
      <c r="E50" s="42"/>
      <c r="F50" s="42"/>
      <c r="G50" s="42"/>
      <c r="H50" s="47"/>
      <c r="I50" s="47"/>
      <c r="J50" s="47"/>
      <c r="K50" s="47"/>
      <c r="L50" s="47"/>
      <c r="M50" s="47"/>
      <c r="N50" s="47"/>
    </row>
    <row r="51" spans="1:14" ht="14" customHeight="1" x14ac:dyDescent="0.2">
      <c r="B51" s="40"/>
      <c r="C51" s="42"/>
      <c r="D51" s="42"/>
      <c r="E51" s="42"/>
      <c r="F51" s="42"/>
      <c r="G51" s="42"/>
      <c r="H51" s="47"/>
      <c r="I51" s="47"/>
      <c r="J51" s="47"/>
      <c r="K51" s="47"/>
      <c r="L51" s="47"/>
      <c r="M51" s="47"/>
      <c r="N51" s="47"/>
    </row>
    <row r="52" spans="1:14" ht="14" customHeight="1" x14ac:dyDescent="0.2">
      <c r="B52" s="40"/>
      <c r="C52" s="42"/>
      <c r="D52" s="42"/>
      <c r="E52" s="42"/>
      <c r="F52" s="42"/>
      <c r="G52" s="42"/>
      <c r="H52" s="47"/>
      <c r="I52" s="47"/>
      <c r="J52" s="47"/>
      <c r="K52" s="47"/>
      <c r="L52" s="47"/>
      <c r="M52" s="47"/>
      <c r="N52" s="47"/>
    </row>
    <row r="53" spans="1:14" ht="14" customHeight="1" x14ac:dyDescent="0.2">
      <c r="B53" s="40"/>
      <c r="C53" s="42"/>
      <c r="D53" s="42"/>
      <c r="E53" s="42"/>
      <c r="F53" s="42"/>
      <c r="G53" s="42"/>
      <c r="H53" s="47"/>
      <c r="I53" s="47"/>
      <c r="J53" s="47"/>
      <c r="K53" s="47"/>
      <c r="L53" s="47"/>
      <c r="M53" s="47"/>
      <c r="N53" s="47"/>
    </row>
    <row r="54" spans="1:14" ht="14" customHeight="1" x14ac:dyDescent="0.2">
      <c r="A54" s="1" t="s">
        <v>12</v>
      </c>
      <c r="B54" s="45"/>
      <c r="C54" s="42"/>
      <c r="D54" s="42"/>
      <c r="E54" s="42"/>
      <c r="F54" s="42"/>
      <c r="G54" s="42"/>
      <c r="H54" s="47"/>
      <c r="I54" s="47"/>
      <c r="J54" s="47"/>
      <c r="K54" s="47"/>
      <c r="L54" s="47"/>
      <c r="M54" s="47"/>
      <c r="N54" s="47"/>
    </row>
    <row r="55" spans="1:14" ht="14" customHeight="1" x14ac:dyDescent="0.2">
      <c r="B55" s="40"/>
      <c r="C55" s="42"/>
      <c r="D55" s="42"/>
      <c r="E55" s="42"/>
      <c r="F55" s="42"/>
      <c r="G55" s="42"/>
      <c r="H55" s="47"/>
      <c r="I55" s="47"/>
      <c r="J55" s="47"/>
      <c r="K55" s="47"/>
      <c r="L55" s="47"/>
      <c r="M55" s="47"/>
      <c r="N55" s="47"/>
    </row>
    <row r="56" spans="1:14" ht="14" customHeight="1" x14ac:dyDescent="0.2">
      <c r="B56" s="40"/>
      <c r="C56" s="42"/>
      <c r="D56" s="42"/>
      <c r="E56" s="42"/>
      <c r="F56" s="42"/>
      <c r="G56" s="42"/>
      <c r="H56" s="47"/>
      <c r="I56" s="47"/>
      <c r="J56" s="47"/>
      <c r="K56" s="47"/>
      <c r="L56" s="47"/>
      <c r="M56" s="47"/>
      <c r="N56" s="47"/>
    </row>
    <row r="57" spans="1:14" ht="14" customHeight="1" x14ac:dyDescent="0.2">
      <c r="B57" s="40"/>
      <c r="C57" s="42"/>
      <c r="D57" s="42"/>
      <c r="E57" s="42"/>
      <c r="F57" s="42"/>
      <c r="G57" s="42"/>
      <c r="H57" s="47"/>
      <c r="I57" s="47"/>
      <c r="J57" s="47"/>
      <c r="K57" s="47"/>
      <c r="L57" s="47"/>
      <c r="M57" s="47"/>
      <c r="N57" s="47"/>
    </row>
    <row r="58" spans="1:14" ht="14" customHeight="1" x14ac:dyDescent="0.2">
      <c r="B58" s="40"/>
      <c r="C58" s="42"/>
      <c r="D58" s="42"/>
      <c r="E58" s="42"/>
      <c r="F58" s="42"/>
      <c r="G58" s="42"/>
      <c r="H58" s="47"/>
      <c r="I58" s="47"/>
      <c r="J58" s="47"/>
      <c r="K58" s="47"/>
      <c r="L58" s="47"/>
      <c r="M58" s="47"/>
      <c r="N58" s="47"/>
    </row>
    <row r="59" spans="1:14" ht="14" customHeight="1" x14ac:dyDescent="0.2">
      <c r="B59" s="40"/>
      <c r="C59" s="42"/>
      <c r="D59" s="42"/>
      <c r="E59" s="42"/>
      <c r="F59" s="42"/>
      <c r="G59" s="42"/>
      <c r="H59" s="47"/>
      <c r="I59" s="47"/>
      <c r="J59" s="47"/>
      <c r="K59" s="47"/>
      <c r="L59" s="47"/>
      <c r="M59" s="47"/>
      <c r="N59" s="47"/>
    </row>
    <row r="60" spans="1:14" ht="14" customHeight="1" x14ac:dyDescent="0.2">
      <c r="B60" s="40"/>
      <c r="C60" s="42"/>
      <c r="D60" s="42"/>
      <c r="E60" s="42"/>
      <c r="F60" s="42"/>
      <c r="G60" s="42"/>
      <c r="H60" s="47"/>
      <c r="I60" s="47"/>
      <c r="J60" s="47"/>
      <c r="K60" s="47"/>
      <c r="L60" s="47"/>
      <c r="M60" s="47"/>
      <c r="N60" s="47"/>
    </row>
    <row r="61" spans="1:14" ht="14" customHeight="1" x14ac:dyDescent="0.2">
      <c r="A61" s="1" t="s">
        <v>12</v>
      </c>
      <c r="B61" s="45"/>
      <c r="C61" s="42"/>
      <c r="D61" s="42"/>
      <c r="E61" s="42"/>
      <c r="F61" s="42"/>
      <c r="G61" s="42"/>
      <c r="H61" s="47"/>
      <c r="I61" s="47"/>
      <c r="J61" s="47"/>
      <c r="K61" s="47"/>
      <c r="L61" s="47"/>
      <c r="M61" s="47"/>
      <c r="N61" s="47"/>
    </row>
    <row r="62" spans="1:14" ht="14" customHeight="1" x14ac:dyDescent="0.2">
      <c r="B62" s="40"/>
      <c r="C62" s="42"/>
      <c r="D62" s="42"/>
      <c r="E62" s="42"/>
      <c r="F62" s="42"/>
      <c r="G62" s="42"/>
      <c r="H62" s="47"/>
      <c r="I62" s="47"/>
      <c r="J62" s="47"/>
      <c r="K62" s="47"/>
      <c r="L62" s="47"/>
      <c r="M62" s="47"/>
      <c r="N62" s="47"/>
    </row>
    <row r="63" spans="1:14" ht="14" customHeight="1" x14ac:dyDescent="0.2">
      <c r="B63" s="40"/>
      <c r="C63" s="42"/>
      <c r="D63" s="42"/>
      <c r="E63" s="42"/>
      <c r="F63" s="42"/>
      <c r="G63" s="42"/>
      <c r="H63" s="47"/>
      <c r="I63" s="47"/>
      <c r="J63" s="47"/>
      <c r="K63" s="47"/>
      <c r="L63" s="47"/>
      <c r="M63" s="47"/>
      <c r="N63" s="47"/>
    </row>
    <row r="64" spans="1:14" ht="14" customHeight="1" x14ac:dyDescent="0.2">
      <c r="A64" s="1" t="s">
        <v>12</v>
      </c>
      <c r="B64" s="45"/>
      <c r="C64" s="42"/>
      <c r="D64" s="42"/>
      <c r="E64" s="42"/>
      <c r="F64" s="42"/>
      <c r="G64" s="42"/>
      <c r="H64" s="47"/>
      <c r="I64" s="47"/>
      <c r="J64" s="47"/>
      <c r="K64" s="47"/>
      <c r="L64" s="47"/>
      <c r="M64" s="47"/>
      <c r="N64" s="47"/>
    </row>
    <row r="65" spans="2:14" ht="14" customHeight="1" x14ac:dyDescent="0.2">
      <c r="B65" s="40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</row>
    <row r="66" spans="2:14" ht="14" customHeight="1" x14ac:dyDescent="0.2">
      <c r="B66" s="40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</row>
    <row r="67" spans="2:14" s="9" customFormat="1" ht="14" customHeight="1" x14ac:dyDescent="0.2">
      <c r="B67" s="40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</row>
    <row r="68" spans="2:14" ht="14" customHeight="1" x14ac:dyDescent="0.2">
      <c r="B68" s="40"/>
      <c r="C68" s="42"/>
      <c r="D68" s="42"/>
      <c r="E68" s="42"/>
      <c r="F68" s="42"/>
      <c r="G68" s="42"/>
      <c r="H68" s="47"/>
      <c r="I68" s="47"/>
      <c r="J68" s="47"/>
      <c r="K68" s="47"/>
      <c r="L68" s="47"/>
      <c r="M68" s="47"/>
      <c r="N68" s="48"/>
    </row>
    <row r="69" spans="2:14" ht="14" customHeight="1" x14ac:dyDescent="0.2">
      <c r="B69" s="40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</row>
    <row r="70" spans="2:14" s="9" customFormat="1" ht="14" customHeight="1" x14ac:dyDescent="0.2">
      <c r="B70" s="1"/>
      <c r="C70" s="1"/>
      <c r="H70" s="47"/>
      <c r="I70" s="47"/>
      <c r="J70" s="47"/>
      <c r="K70" s="47"/>
      <c r="L70" s="47"/>
      <c r="M70" s="47"/>
      <c r="N70" s="47"/>
    </row>
    <row r="71" spans="2:14" ht="14" customHeight="1" x14ac:dyDescent="0.2">
      <c r="B71" s="40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</row>
    <row r="72" spans="2:14" s="9" customFormat="1" ht="14" customHeight="1" x14ac:dyDescent="0.2">
      <c r="B72" s="40"/>
      <c r="C72" s="51"/>
      <c r="D72" s="51"/>
      <c r="E72" s="51"/>
      <c r="F72" s="51"/>
      <c r="G72" s="51"/>
      <c r="H72" s="42"/>
      <c r="I72" s="42"/>
      <c r="J72" s="42"/>
      <c r="K72" s="42"/>
      <c r="L72" s="42"/>
      <c r="M72" s="42"/>
      <c r="N72" s="51"/>
    </row>
    <row r="73" spans="2:14" ht="14" customHeight="1" x14ac:dyDescent="0.2">
      <c r="B73" s="46"/>
      <c r="C73" s="51"/>
      <c r="D73" s="51"/>
      <c r="E73" s="51"/>
      <c r="F73" s="51"/>
      <c r="G73" s="51"/>
      <c r="H73" s="47"/>
      <c r="I73" s="47"/>
      <c r="J73" s="47"/>
      <c r="K73" s="47"/>
      <c r="L73" s="47"/>
      <c r="M73" s="47"/>
      <c r="N73" s="51"/>
    </row>
    <row r="74" spans="2:14" ht="14" customHeight="1" x14ac:dyDescent="0.2">
      <c r="B74" s="46"/>
      <c r="C74" s="42"/>
      <c r="D74" s="42"/>
      <c r="E74" s="42"/>
      <c r="F74" s="42"/>
      <c r="G74" s="42"/>
      <c r="H74" s="60"/>
      <c r="I74" s="60"/>
      <c r="J74" s="60"/>
      <c r="K74" s="60"/>
      <c r="L74" s="60"/>
      <c r="M74" s="60"/>
      <c r="N74" s="60"/>
    </row>
    <row r="75" spans="2:14" s="9" customFormat="1" ht="14" customHeight="1" x14ac:dyDescent="0.2">
      <c r="B75" s="49"/>
      <c r="C75" s="50"/>
      <c r="D75" s="50"/>
      <c r="E75" s="50"/>
      <c r="F75" s="50"/>
      <c r="G75" s="50"/>
      <c r="H75" s="42"/>
      <c r="I75" s="42"/>
      <c r="J75" s="42"/>
      <c r="K75" s="42"/>
      <c r="L75" s="42"/>
      <c r="M75" s="42"/>
      <c r="N75" s="50"/>
    </row>
    <row r="76" spans="2:14" s="9" customFormat="1" ht="14" customHeight="1" x14ac:dyDescent="0.2">
      <c r="B76" s="49"/>
      <c r="C76" s="48"/>
      <c r="D76" s="48"/>
      <c r="E76" s="48"/>
      <c r="F76" s="48"/>
      <c r="G76" s="48"/>
      <c r="H76" s="47"/>
      <c r="I76" s="47"/>
      <c r="J76" s="47"/>
      <c r="K76" s="47"/>
      <c r="L76" s="47"/>
      <c r="M76" s="47"/>
      <c r="N76" s="48"/>
    </row>
    <row r="77" spans="2:14" ht="14" customHeight="1" x14ac:dyDescent="0.2">
      <c r="B77" s="49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</row>
    <row r="78" spans="2:14" s="9" customFormat="1" ht="14" customHeight="1" x14ac:dyDescent="0.2">
      <c r="B78" s="45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</row>
    <row r="79" spans="2:14" ht="14" customHeight="1" x14ac:dyDescent="0.2">
      <c r="B79" s="49"/>
      <c r="C79" s="42"/>
      <c r="D79" s="42"/>
      <c r="E79" s="42"/>
      <c r="F79" s="42"/>
      <c r="G79" s="42"/>
      <c r="H79" s="47"/>
      <c r="I79" s="47"/>
      <c r="J79" s="47"/>
      <c r="K79" s="47"/>
      <c r="L79" s="47"/>
      <c r="M79" s="47"/>
      <c r="N79" s="47"/>
    </row>
    <row r="80" spans="2:14" s="9" customFormat="1" ht="14" customHeight="1" x14ac:dyDescent="0.2">
      <c r="B80" s="49"/>
      <c r="C80" s="50"/>
      <c r="D80" s="50"/>
      <c r="E80" s="50"/>
      <c r="F80" s="50"/>
      <c r="G80" s="50"/>
      <c r="H80" s="42"/>
      <c r="I80" s="42"/>
      <c r="J80" s="42"/>
      <c r="K80" s="42"/>
      <c r="L80" s="42"/>
      <c r="M80" s="42"/>
      <c r="N80" s="50"/>
    </row>
    <row r="81" spans="2:14" s="9" customFormat="1" ht="14" customHeight="1" x14ac:dyDescent="0.2">
      <c r="B81" s="49"/>
      <c r="C81" s="48"/>
      <c r="D81" s="48"/>
      <c r="E81" s="48"/>
      <c r="F81" s="48"/>
      <c r="G81" s="48"/>
      <c r="H81" s="51"/>
      <c r="I81" s="51"/>
      <c r="J81" s="51"/>
      <c r="K81" s="51"/>
      <c r="L81" s="51"/>
      <c r="M81" s="51"/>
      <c r="N81" s="51"/>
    </row>
    <row r="82" spans="2:14" ht="14" customHeight="1" x14ac:dyDescent="0.2">
      <c r="B82" s="49"/>
      <c r="C82" s="42"/>
      <c r="D82" s="42"/>
      <c r="E82" s="42"/>
      <c r="F82" s="42"/>
      <c r="G82" s="42"/>
      <c r="H82" s="51"/>
      <c r="I82" s="51"/>
      <c r="J82" s="51"/>
      <c r="K82" s="51"/>
      <c r="L82" s="51"/>
      <c r="M82" s="51"/>
      <c r="N82" s="51"/>
    </row>
    <row r="83" spans="2:14" ht="14" customHeight="1" x14ac:dyDescent="0.2">
      <c r="B83" s="49"/>
      <c r="C83" s="40"/>
      <c r="D83" s="40"/>
      <c r="E83" s="40"/>
      <c r="F83" s="40"/>
      <c r="G83" s="40"/>
      <c r="H83" s="51"/>
      <c r="I83" s="51"/>
      <c r="J83" s="51"/>
      <c r="K83" s="51"/>
      <c r="L83" s="51"/>
      <c r="M83" s="51"/>
      <c r="N83" s="51"/>
    </row>
    <row r="84" spans="2:14" ht="14" customHeight="1" x14ac:dyDescent="0.2">
      <c r="B84" s="49"/>
      <c r="C84" s="48"/>
      <c r="D84" s="48"/>
      <c r="E84" s="48"/>
      <c r="F84" s="48"/>
      <c r="G84" s="48"/>
      <c r="H84" s="51"/>
      <c r="I84" s="51"/>
      <c r="J84" s="51"/>
      <c r="K84" s="51"/>
      <c r="L84" s="51"/>
      <c r="M84" s="51"/>
      <c r="N84" s="48"/>
    </row>
    <row r="85" spans="2:14" ht="14" customHeight="1" x14ac:dyDescent="0.2">
      <c r="B85" s="49"/>
      <c r="C85" s="40"/>
      <c r="D85" s="40"/>
      <c r="E85" s="40"/>
      <c r="F85" s="40"/>
      <c r="G85" s="40"/>
      <c r="H85" s="51"/>
      <c r="I85" s="51"/>
      <c r="J85" s="51"/>
      <c r="K85" s="51"/>
      <c r="L85" s="51"/>
      <c r="M85" s="51"/>
      <c r="N85" s="40"/>
    </row>
    <row r="86" spans="2:14" ht="14" customHeight="1" x14ac:dyDescent="0.2">
      <c r="B86" s="49"/>
      <c r="C86" s="40"/>
      <c r="D86" s="40"/>
      <c r="E86" s="40"/>
      <c r="F86" s="40"/>
      <c r="G86" s="40"/>
      <c r="H86" s="51"/>
      <c r="I86" s="51"/>
      <c r="J86" s="51"/>
      <c r="K86" s="51"/>
      <c r="L86" s="51"/>
      <c r="M86" s="51"/>
      <c r="N86" s="40"/>
    </row>
    <row r="87" spans="2:14" ht="14" customHeight="1" x14ac:dyDescent="0.2">
      <c r="B87" s="49"/>
      <c r="C87" s="40"/>
      <c r="D87" s="40"/>
      <c r="E87" s="40"/>
      <c r="F87" s="40"/>
      <c r="G87" s="40"/>
      <c r="H87" s="61"/>
      <c r="I87" s="61"/>
      <c r="J87" s="61"/>
      <c r="K87" s="61"/>
      <c r="L87" s="61"/>
      <c r="M87" s="61"/>
      <c r="N87" s="61"/>
    </row>
    <row r="88" spans="2:14" ht="14" customHeight="1" x14ac:dyDescent="0.2">
      <c r="B88" s="45"/>
      <c r="C88" s="26"/>
      <c r="D88" s="23"/>
      <c r="E88" s="23"/>
      <c r="F88" s="23"/>
      <c r="G88" s="23"/>
      <c r="H88" s="25"/>
      <c r="I88" s="25"/>
      <c r="J88" s="25"/>
      <c r="K88" s="25"/>
      <c r="L88" s="25"/>
      <c r="M88" s="25"/>
      <c r="N88" s="23"/>
    </row>
    <row r="89" spans="2:14" ht="14" customHeight="1" x14ac:dyDescent="0.2">
      <c r="B89" s="24"/>
      <c r="C89" s="26"/>
      <c r="D89" s="23"/>
      <c r="E89" s="23"/>
      <c r="F89" s="23"/>
      <c r="G89" s="23"/>
      <c r="H89" s="25"/>
      <c r="I89" s="25"/>
      <c r="J89" s="25"/>
      <c r="K89" s="25"/>
      <c r="L89" s="25"/>
      <c r="M89" s="25"/>
      <c r="N89" s="23"/>
    </row>
    <row r="90" spans="2:14" ht="14" customHeight="1" x14ac:dyDescent="0.2">
      <c r="B90" s="24"/>
      <c r="C90" s="26"/>
      <c r="D90" s="23"/>
      <c r="E90" s="23"/>
      <c r="F90" s="23"/>
      <c r="G90" s="23"/>
      <c r="H90" s="25"/>
      <c r="I90" s="25"/>
      <c r="J90" s="25"/>
      <c r="K90" s="25"/>
      <c r="L90" s="25"/>
      <c r="M90" s="25"/>
      <c r="N90" s="23"/>
    </row>
    <row r="91" spans="2:14" ht="14" customHeight="1" x14ac:dyDescent="0.2">
      <c r="B91" s="24"/>
      <c r="C91" s="26"/>
      <c r="D91" s="23"/>
      <c r="E91" s="23"/>
      <c r="F91" s="23"/>
      <c r="G91" s="23"/>
      <c r="H91" s="25"/>
      <c r="I91" s="25"/>
      <c r="J91" s="25"/>
      <c r="K91" s="25"/>
      <c r="L91" s="25"/>
      <c r="M91" s="25"/>
      <c r="N91" s="23"/>
    </row>
    <row r="92" spans="2:14" ht="14" customHeight="1" x14ac:dyDescent="0.2">
      <c r="B92" s="29"/>
      <c r="C92" s="26"/>
      <c r="D92" s="23"/>
      <c r="E92" s="23"/>
      <c r="F92" s="23"/>
      <c r="G92" s="23"/>
      <c r="H92" s="28"/>
      <c r="I92" s="28"/>
      <c r="J92" s="28"/>
      <c r="K92" s="28"/>
      <c r="L92" s="28"/>
      <c r="M92" s="28"/>
      <c r="N92" s="23"/>
    </row>
    <row r="93" spans="2:14" ht="14" customHeight="1" x14ac:dyDescent="0.2">
      <c r="B93" s="29"/>
      <c r="C93" s="26"/>
      <c r="D93" s="26"/>
      <c r="E93" s="26"/>
      <c r="F93" s="26"/>
      <c r="G93" s="26"/>
      <c r="H93" s="28"/>
      <c r="I93" s="28"/>
      <c r="J93" s="28"/>
      <c r="K93" s="28"/>
      <c r="L93" s="28"/>
      <c r="M93" s="28"/>
      <c r="N93" s="26"/>
    </row>
    <row r="94" spans="2:14" ht="14" customHeight="1" x14ac:dyDescent="0.2">
      <c r="B94" s="31"/>
      <c r="C94" s="26"/>
      <c r="D94" s="26"/>
      <c r="E94" s="26"/>
      <c r="F94" s="26"/>
      <c r="G94" s="26"/>
      <c r="H94" s="28"/>
      <c r="I94" s="28"/>
      <c r="J94" s="28"/>
      <c r="K94" s="28"/>
      <c r="L94" s="28"/>
      <c r="M94" s="28"/>
      <c r="N94" s="26"/>
    </row>
    <row r="95" spans="2:14" ht="14" customHeight="1" x14ac:dyDescent="0.2">
      <c r="C95" s="21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</row>
  </sheetData>
  <mergeCells count="8">
    <mergeCell ref="Y8:Z8"/>
    <mergeCell ref="P8:S8"/>
    <mergeCell ref="U8:W8"/>
    <mergeCell ref="E33:F40"/>
    <mergeCell ref="H33:L33"/>
    <mergeCell ref="H37:L37"/>
    <mergeCell ref="K30:N30"/>
    <mergeCell ref="W29:AB29"/>
  </mergeCells>
  <pageMargins left="0.7" right="0.7" top="0.75" bottom="0.75" header="0.3" footer="0.3"/>
  <pageSetup scale="2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 enableFormatConditionsCalculation="0"/>
  <dimension ref="A1:AD62"/>
  <sheetViews>
    <sheetView showGridLines="0" workbookViewId="0">
      <selection activeCell="C13" sqref="C13:D14"/>
    </sheetView>
  </sheetViews>
  <sheetFormatPr baseColWidth="10" defaultColWidth="8.5" defaultRowHeight="14" customHeight="1" x14ac:dyDescent="0.2"/>
  <cols>
    <col min="1" max="1" width="1.5" style="1" customWidth="1"/>
    <col min="2" max="2" width="40.5" style="1" customWidth="1"/>
    <col min="3" max="3" width="10.1640625" style="1" bestFit="1" customWidth="1"/>
    <col min="4" max="4" width="11" style="1" bestFit="1" customWidth="1"/>
    <col min="5" max="5" width="10.1640625" style="1" bestFit="1" customWidth="1"/>
    <col min="6" max="6" width="8.5" style="1"/>
    <col min="7" max="7" width="8.5" style="1" customWidth="1"/>
    <col min="8" max="16384" width="8.5" style="1"/>
  </cols>
  <sheetData>
    <row r="1" spans="2:17" ht="21" x14ac:dyDescent="0.3">
      <c r="B1" s="8" t="s">
        <v>188</v>
      </c>
      <c r="D1" s="476" t="s">
        <v>126</v>
      </c>
      <c r="E1" s="477"/>
      <c r="F1" s="478"/>
    </row>
    <row r="2" spans="2:17" ht="14" customHeight="1" x14ac:dyDescent="0.2">
      <c r="B2" s="1" t="s">
        <v>163</v>
      </c>
      <c r="D2" s="136" t="s">
        <v>123</v>
      </c>
      <c r="E2" s="137" t="s">
        <v>124</v>
      </c>
      <c r="F2" s="138" t="s">
        <v>125</v>
      </c>
      <c r="H2" s="139" t="s">
        <v>130</v>
      </c>
    </row>
    <row r="4" spans="2:17" ht="14" customHeight="1" x14ac:dyDescent="0.2">
      <c r="B4" s="9" t="s">
        <v>320</v>
      </c>
    </row>
    <row r="5" spans="2:17" ht="14" customHeight="1" x14ac:dyDescent="0.2">
      <c r="B5" s="10" t="s">
        <v>307</v>
      </c>
      <c r="C5" s="1" t="s">
        <v>98</v>
      </c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K5" s="1" t="s">
        <v>321</v>
      </c>
      <c r="M5" s="386">
        <f>Documentation!D11</f>
        <v>71.89</v>
      </c>
    </row>
    <row r="6" spans="2:17" ht="14" customHeight="1" x14ac:dyDescent="0.2">
      <c r="B6" s="10"/>
      <c r="K6" s="1" t="s">
        <v>323</v>
      </c>
      <c r="M6" s="1">
        <f>'Income Statement'!S29</f>
        <v>2.7819913180478442</v>
      </c>
    </row>
    <row r="7" spans="2:17" ht="14" customHeight="1" x14ac:dyDescent="0.2">
      <c r="B7" s="1" t="s">
        <v>318</v>
      </c>
      <c r="C7" s="62"/>
      <c r="D7" s="62"/>
      <c r="E7" s="62"/>
      <c r="F7" s="109" t="e">
        <f>'Full Comparables'!H35</f>
        <v>#REF!</v>
      </c>
      <c r="G7" s="110"/>
      <c r="H7" s="110" t="e">
        <f>('Full Comparables'!L35-'Full Comparables'!H35)</f>
        <v>#REF!</v>
      </c>
      <c r="I7" s="108"/>
      <c r="J7" s="108"/>
      <c r="K7" s="40" t="s">
        <v>284</v>
      </c>
      <c r="M7" s="95">
        <f>' DCF - Ideal Cap Structure'!C41</f>
        <v>1.0595000000000001</v>
      </c>
    </row>
    <row r="8" spans="2:17" ht="14" customHeight="1" x14ac:dyDescent="0.2">
      <c r="B8" s="1" t="s">
        <v>319</v>
      </c>
      <c r="C8" s="62"/>
      <c r="D8" s="62"/>
      <c r="E8" s="62"/>
      <c r="F8" s="109" t="e">
        <f>'Full Comparables'!H39</f>
        <v>#REF!</v>
      </c>
      <c r="G8" s="110"/>
      <c r="H8" s="110" t="e">
        <f>('Full Comparables'!L39-'Full Comparables'!H39)</f>
        <v>#REF!</v>
      </c>
      <c r="I8" s="108"/>
      <c r="J8" s="108"/>
      <c r="K8" s="40"/>
      <c r="M8" s="1">
        <f>M6*M7</f>
        <v>2.947519801471691</v>
      </c>
      <c r="Q8" s="22"/>
    </row>
    <row r="9" spans="2:17" ht="14" customHeight="1" x14ac:dyDescent="0.2">
      <c r="B9" s="241" t="s">
        <v>161</v>
      </c>
      <c r="C9" s="62"/>
      <c r="D9" s="62"/>
      <c r="E9" s="109"/>
      <c r="F9" s="110"/>
      <c r="G9" s="110"/>
      <c r="H9" s="110"/>
      <c r="I9" s="40"/>
      <c r="J9" s="40"/>
      <c r="K9" s="40"/>
    </row>
    <row r="10" spans="2:17" ht="14" customHeight="1" x14ac:dyDescent="0.2">
      <c r="B10" s="40" t="s">
        <v>159</v>
      </c>
      <c r="C10" s="40"/>
      <c r="D10" s="62"/>
      <c r="E10" s="40"/>
      <c r="F10" s="109">
        <f>AVERAGE(' DCF - WACC From Model'!H29,' DCF - WACC From Model'!H30,' DCF - WACC From Model'!I30)</f>
        <v>42.666524194201877</v>
      </c>
      <c r="G10" s="110"/>
      <c r="H10" s="110">
        <f>AVERAGE(' DCF - WACC From Model'!I28,' DCF - WACC From Model'!J28,' DCF - WACC From Model'!J29)-F10</f>
        <v>14.02001212220938</v>
      </c>
      <c r="I10" s="40"/>
      <c r="J10" s="40"/>
      <c r="K10" s="40"/>
    </row>
    <row r="11" spans="2:17" ht="14" customHeight="1" x14ac:dyDescent="0.2">
      <c r="B11" s="40" t="s">
        <v>317</v>
      </c>
      <c r="C11" s="40"/>
      <c r="D11" s="62"/>
      <c r="E11" s="40"/>
      <c r="F11" s="109">
        <f>AVERAGE(' DCF - Ideal Cap Structure'!H29:H30,' DCF - Ideal Cap Structure'!I30)</f>
        <v>42.13963410287581</v>
      </c>
      <c r="G11" s="110"/>
      <c r="H11" s="110">
        <f>AVERAGE(' DCF - Ideal Cap Structure'!I28:J28,' DCF - Ideal Cap Structure'!J29)-F11</f>
        <v>8.4110239912508931</v>
      </c>
      <c r="I11" s="40"/>
      <c r="J11" s="40"/>
      <c r="K11" s="40"/>
    </row>
    <row r="12" spans="2:17" ht="14" customHeight="1" x14ac:dyDescent="0.2">
      <c r="B12" s="242" t="s">
        <v>162</v>
      </c>
      <c r="C12" s="40"/>
      <c r="D12" s="62"/>
      <c r="E12" s="40"/>
      <c r="F12" s="109"/>
      <c r="G12" s="110"/>
      <c r="H12" s="110"/>
      <c r="I12" s="40"/>
      <c r="J12" s="40"/>
      <c r="K12" s="40" t="s">
        <v>331</v>
      </c>
      <c r="M12" s="1" t="s">
        <v>332</v>
      </c>
    </row>
    <row r="13" spans="2:17" ht="14" customHeight="1" x14ac:dyDescent="0.2">
      <c r="B13" s="1" t="s">
        <v>325</v>
      </c>
      <c r="C13" s="511" t="s">
        <v>329</v>
      </c>
      <c r="D13" s="511"/>
      <c r="I13" s="40"/>
      <c r="J13" s="40"/>
    </row>
    <row r="14" spans="2:17" ht="14" customHeight="1" x14ac:dyDescent="0.2">
      <c r="B14" s="1" t="s">
        <v>324</v>
      </c>
      <c r="C14" s="511"/>
      <c r="D14" s="511"/>
      <c r="I14" s="40"/>
      <c r="J14" s="40"/>
    </row>
    <row r="15" spans="2:17" ht="14" customHeight="1" x14ac:dyDescent="0.2">
      <c r="B15" s="40" t="s">
        <v>327</v>
      </c>
      <c r="C15" s="40"/>
      <c r="D15" s="62"/>
      <c r="E15" s="40"/>
      <c r="F15" s="109">
        <f>K15*M8</f>
        <v>88.425594044150728</v>
      </c>
      <c r="G15" s="110"/>
      <c r="H15" s="110">
        <f>M15*M8-F15</f>
        <v>14.737599007358455</v>
      </c>
      <c r="I15" s="40"/>
      <c r="J15" s="40"/>
      <c r="K15" s="40">
        <v>30</v>
      </c>
      <c r="L15" s="1">
        <v>32.9</v>
      </c>
      <c r="M15" s="1">
        <v>35</v>
      </c>
    </row>
    <row r="16" spans="2:17" ht="14" customHeight="1" x14ac:dyDescent="0.2">
      <c r="B16" s="40" t="s">
        <v>326</v>
      </c>
      <c r="C16" s="40"/>
      <c r="D16" s="62"/>
      <c r="E16" s="40"/>
      <c r="F16" s="109">
        <f>M8*K16</f>
        <v>74.424874987160194</v>
      </c>
      <c r="G16" s="110"/>
      <c r="H16" s="110">
        <f>M16*M8-F16</f>
        <v>19.895758659933918</v>
      </c>
      <c r="I16" s="40"/>
      <c r="J16" s="40"/>
      <c r="K16" s="40">
        <f>(22.5+28)/2</f>
        <v>25.25</v>
      </c>
      <c r="M16" s="1">
        <f>(28+36)/2</f>
        <v>32</v>
      </c>
    </row>
    <row r="17" spans="1:30" ht="14" customHeight="1" x14ac:dyDescent="0.2">
      <c r="A17" s="1" t="s">
        <v>10</v>
      </c>
      <c r="B17" s="243" t="s">
        <v>160</v>
      </c>
      <c r="C17" s="42"/>
      <c r="D17" s="42"/>
      <c r="E17" s="42"/>
      <c r="F17" s="109"/>
      <c r="G17" s="110"/>
      <c r="H17" s="44"/>
      <c r="I17" s="40"/>
      <c r="J17" s="40"/>
      <c r="K17" s="40"/>
    </row>
    <row r="18" spans="1:30" ht="14" customHeight="1" x14ac:dyDescent="0.2">
      <c r="B18" s="33"/>
      <c r="C18" s="42"/>
      <c r="D18" s="42"/>
      <c r="E18" s="42"/>
      <c r="F18" s="44"/>
      <c r="G18" s="44"/>
      <c r="H18" s="44"/>
      <c r="I18" s="40"/>
      <c r="J18" s="40"/>
      <c r="K18" s="40"/>
    </row>
    <row r="19" spans="1:30" s="9" customFormat="1" ht="14" customHeight="1" x14ac:dyDescent="0.2">
      <c r="A19" s="1"/>
      <c r="B19" s="27"/>
      <c r="C19" s="42"/>
      <c r="D19" s="42"/>
      <c r="E19" s="42"/>
      <c r="F19" s="44"/>
      <c r="G19" s="44"/>
      <c r="H19" s="44"/>
      <c r="I19" s="45"/>
      <c r="J19" s="45"/>
      <c r="K19" s="45"/>
      <c r="R19" s="1"/>
      <c r="S19" s="1"/>
    </row>
    <row r="20" spans="1:30" ht="14" customHeight="1" x14ac:dyDescent="0.2">
      <c r="A20" s="9"/>
      <c r="B20" s="33"/>
      <c r="C20" s="44"/>
      <c r="D20" s="44"/>
      <c r="E20" s="44"/>
      <c r="F20" s="44"/>
      <c r="G20" s="44"/>
      <c r="H20" s="48"/>
      <c r="I20" s="40"/>
      <c r="J20" s="40"/>
      <c r="K20" s="40"/>
    </row>
    <row r="21" spans="1:30" ht="14" customHeight="1" x14ac:dyDescent="0.2">
      <c r="B21" s="46"/>
      <c r="C21" s="42"/>
      <c r="D21" s="42"/>
      <c r="E21" s="42"/>
      <c r="F21" s="47"/>
      <c r="G21" s="48"/>
      <c r="H21" s="42"/>
      <c r="I21" s="40"/>
      <c r="J21" s="40"/>
      <c r="K21" s="40"/>
    </row>
    <row r="22" spans="1:30" s="9" customFormat="1" ht="14" customHeight="1" x14ac:dyDescent="0.2">
      <c r="A22" s="1"/>
      <c r="B22" s="46"/>
      <c r="C22" s="42"/>
      <c r="D22" s="42"/>
      <c r="E22" s="42"/>
      <c r="F22" s="42"/>
      <c r="G22" s="42"/>
      <c r="H22" s="43"/>
      <c r="I22" s="45"/>
      <c r="J22" s="45"/>
      <c r="K22" s="45"/>
    </row>
    <row r="23" spans="1:30" ht="14" customHeight="1" x14ac:dyDescent="0.2">
      <c r="A23" s="9"/>
      <c r="B23" s="33"/>
      <c r="C23" s="50"/>
      <c r="D23" s="50"/>
      <c r="E23" s="50"/>
      <c r="F23" s="43"/>
      <c r="G23" s="43"/>
      <c r="H23" s="44"/>
      <c r="I23" s="40"/>
      <c r="J23" s="40"/>
      <c r="K23" s="40"/>
    </row>
    <row r="24" spans="1:30" s="9" customFormat="1" ht="14" customHeight="1" x14ac:dyDescent="0.2">
      <c r="A24" s="1"/>
      <c r="B24" s="33"/>
      <c r="C24" s="44"/>
      <c r="D24" s="44"/>
      <c r="E24" s="44"/>
      <c r="F24" s="44"/>
      <c r="G24" s="44"/>
      <c r="H24" s="51"/>
      <c r="I24" s="45"/>
      <c r="J24" s="45"/>
      <c r="K24" s="45"/>
    </row>
    <row r="25" spans="1:30" ht="14" customHeight="1" x14ac:dyDescent="0.2">
      <c r="A25" s="9"/>
      <c r="B25" s="33"/>
      <c r="C25" s="51"/>
      <c r="D25" s="51"/>
      <c r="E25" s="51"/>
      <c r="F25" s="44"/>
      <c r="G25" s="51"/>
      <c r="H25" s="51"/>
      <c r="I25" s="40"/>
      <c r="J25" s="40"/>
      <c r="K25" s="40"/>
    </row>
    <row r="26" spans="1:30" ht="14" customHeight="1" x14ac:dyDescent="0.2">
      <c r="B26" s="46"/>
      <c r="C26" s="51"/>
      <c r="D26" s="51"/>
      <c r="E26" s="51"/>
      <c r="F26" s="47"/>
      <c r="G26" s="51"/>
      <c r="H26" s="52"/>
      <c r="I26" s="52"/>
      <c r="J26" s="52"/>
      <c r="K26" s="40"/>
    </row>
    <row r="27" spans="1:30" s="9" customFormat="1" ht="14" customHeight="1" x14ac:dyDescent="0.2">
      <c r="A27" s="1"/>
      <c r="B27" s="49"/>
      <c r="C27" s="42"/>
      <c r="D27" s="42"/>
      <c r="E27" s="42"/>
      <c r="F27" s="52"/>
      <c r="G27" s="52"/>
      <c r="H27" s="50"/>
      <c r="I27" s="45"/>
      <c r="J27" s="45"/>
      <c r="K27" s="45"/>
    </row>
    <row r="28" spans="1:30" s="9" customFormat="1" ht="14" customHeight="1" x14ac:dyDescent="0.2">
      <c r="B28" s="49"/>
      <c r="C28" s="50"/>
      <c r="D28" s="50"/>
      <c r="E28" s="50"/>
      <c r="F28" s="42"/>
      <c r="G28" s="50"/>
      <c r="H28" s="48"/>
      <c r="I28" s="45"/>
      <c r="J28" s="45"/>
      <c r="K28" s="45"/>
      <c r="M28" s="512" t="s">
        <v>334</v>
      </c>
      <c r="N28" s="512"/>
      <c r="O28" s="512"/>
      <c r="P28" s="512"/>
      <c r="Q28" s="512"/>
      <c r="R28" s="512"/>
      <c r="S28" s="512"/>
      <c r="T28" s="512"/>
      <c r="U28" s="512"/>
      <c r="V28" s="512"/>
      <c r="W28" s="512"/>
      <c r="X28" s="512"/>
      <c r="Y28" s="512"/>
      <c r="Z28" s="512"/>
      <c r="AA28" s="512"/>
      <c r="AB28" s="512"/>
      <c r="AC28" s="512"/>
      <c r="AD28" s="512"/>
    </row>
    <row r="29" spans="1:30" ht="14" customHeight="1" x14ac:dyDescent="0.2">
      <c r="A29" s="9"/>
      <c r="B29" s="46"/>
      <c r="C29" s="48"/>
      <c r="D29" s="48"/>
      <c r="E29" s="48"/>
      <c r="F29" s="47"/>
      <c r="G29" s="48"/>
      <c r="H29" s="42"/>
      <c r="I29" s="40"/>
      <c r="J29" s="40"/>
      <c r="K29" s="40"/>
      <c r="M29" s="512"/>
      <c r="N29" s="512"/>
      <c r="O29" s="512"/>
      <c r="P29" s="512"/>
      <c r="Q29" s="512"/>
      <c r="R29" s="512"/>
      <c r="S29" s="512"/>
      <c r="T29" s="512"/>
      <c r="U29" s="512"/>
      <c r="V29" s="512"/>
      <c r="W29" s="512"/>
      <c r="X29" s="512"/>
      <c r="Y29" s="512"/>
      <c r="Z29" s="512"/>
      <c r="AA29" s="512"/>
      <c r="AB29" s="512"/>
      <c r="AC29" s="512"/>
      <c r="AD29" s="512"/>
    </row>
    <row r="30" spans="1:30" s="9" customFormat="1" ht="14" customHeight="1" x14ac:dyDescent="0.2">
      <c r="A30" s="1"/>
      <c r="B30" s="49"/>
      <c r="C30" s="42"/>
      <c r="D30" s="42"/>
      <c r="E30" s="42"/>
      <c r="F30" s="42"/>
      <c r="G30" s="42"/>
      <c r="H30" s="50"/>
      <c r="I30" s="45"/>
      <c r="J30" s="45"/>
      <c r="K30" s="45"/>
      <c r="M30" s="512"/>
      <c r="N30" s="512"/>
      <c r="O30" s="512"/>
      <c r="P30" s="512"/>
      <c r="Q30" s="512"/>
      <c r="R30" s="512"/>
      <c r="S30" s="512"/>
      <c r="T30" s="512"/>
      <c r="U30" s="512"/>
      <c r="V30" s="512"/>
      <c r="W30" s="512"/>
      <c r="X30" s="512"/>
      <c r="Y30" s="512"/>
      <c r="Z30" s="512"/>
      <c r="AA30" s="512"/>
      <c r="AB30" s="512"/>
      <c r="AC30" s="512"/>
      <c r="AD30" s="512"/>
    </row>
    <row r="31" spans="1:30" ht="14" customHeight="1" x14ac:dyDescent="0.2">
      <c r="A31" s="9"/>
      <c r="B31" s="27"/>
      <c r="C31" s="50"/>
      <c r="D31" s="50"/>
      <c r="E31" s="50"/>
      <c r="F31" s="50"/>
      <c r="G31" s="50"/>
      <c r="H31" s="43"/>
      <c r="I31" s="43"/>
      <c r="J31" s="43"/>
      <c r="K31" s="40"/>
      <c r="M31" s="512"/>
      <c r="N31" s="512"/>
      <c r="O31" s="512"/>
      <c r="P31" s="512"/>
      <c r="Q31" s="512"/>
      <c r="R31" s="512"/>
      <c r="S31" s="512"/>
      <c r="T31" s="512"/>
      <c r="U31" s="512"/>
      <c r="V31" s="512"/>
      <c r="W31" s="512"/>
      <c r="X31" s="512"/>
      <c r="Y31" s="512"/>
      <c r="Z31" s="512"/>
      <c r="AA31" s="512"/>
      <c r="AB31" s="512"/>
      <c r="AC31" s="512"/>
      <c r="AD31" s="512"/>
    </row>
    <row r="32" spans="1:30" s="9" customFormat="1" ht="14" customHeight="1" x14ac:dyDescent="0.2">
      <c r="A32" s="1"/>
      <c r="B32" s="49"/>
      <c r="C32" s="42"/>
      <c r="D32" s="42"/>
      <c r="E32" s="42"/>
      <c r="F32" s="43"/>
      <c r="G32" s="43"/>
      <c r="H32" s="50"/>
      <c r="I32" s="45"/>
      <c r="J32" s="45"/>
      <c r="K32" s="45"/>
      <c r="M32" s="512"/>
      <c r="N32" s="512"/>
      <c r="O32" s="512"/>
      <c r="P32" s="512"/>
      <c r="Q32" s="512"/>
      <c r="R32" s="512"/>
      <c r="S32" s="512"/>
      <c r="T32" s="512"/>
      <c r="U32" s="512"/>
      <c r="V32" s="512"/>
      <c r="W32" s="512"/>
      <c r="X32" s="512"/>
      <c r="Y32" s="512"/>
      <c r="Z32" s="512"/>
      <c r="AA32" s="512"/>
      <c r="AB32" s="512"/>
      <c r="AC32" s="512"/>
      <c r="AD32" s="512"/>
    </row>
    <row r="33" spans="1:30" s="9" customFormat="1" ht="14" customHeight="1" x14ac:dyDescent="0.2">
      <c r="B33" s="49"/>
      <c r="C33" s="50"/>
      <c r="D33" s="50"/>
      <c r="E33" s="50"/>
      <c r="F33" s="42"/>
      <c r="G33" s="50"/>
      <c r="H33" s="51"/>
      <c r="I33" s="51"/>
      <c r="J33" s="51"/>
      <c r="K33" s="45"/>
      <c r="M33" s="512"/>
      <c r="N33" s="512"/>
      <c r="O33" s="512"/>
      <c r="P33" s="512"/>
      <c r="Q33" s="512"/>
      <c r="R33" s="512"/>
      <c r="S33" s="512"/>
      <c r="T33" s="512"/>
      <c r="U33" s="512"/>
      <c r="V33" s="512"/>
      <c r="W33" s="512"/>
      <c r="X33" s="512"/>
      <c r="Y33" s="512"/>
      <c r="Z33" s="512"/>
      <c r="AA33" s="512"/>
      <c r="AB33" s="512"/>
      <c r="AC33" s="512"/>
      <c r="AD33" s="512"/>
    </row>
    <row r="34" spans="1:30" ht="14" customHeight="1" x14ac:dyDescent="0.2">
      <c r="A34" s="9"/>
      <c r="B34" s="49"/>
      <c r="C34" s="48"/>
      <c r="D34" s="48"/>
      <c r="E34" s="48"/>
      <c r="F34" s="51"/>
      <c r="G34" s="51"/>
      <c r="H34" s="51"/>
      <c r="I34" s="51"/>
      <c r="J34" s="51"/>
      <c r="K34" s="40"/>
      <c r="M34" s="512"/>
      <c r="N34" s="512"/>
      <c r="O34" s="512"/>
      <c r="P34" s="512"/>
      <c r="Q34" s="512"/>
      <c r="R34" s="512"/>
      <c r="S34" s="512"/>
      <c r="T34" s="512"/>
      <c r="U34" s="512"/>
      <c r="V34" s="512"/>
      <c r="W34" s="512"/>
      <c r="X34" s="512"/>
      <c r="Y34" s="512"/>
      <c r="Z34" s="512"/>
      <c r="AA34" s="512"/>
      <c r="AB34" s="512"/>
      <c r="AC34" s="512"/>
      <c r="AD34" s="512"/>
    </row>
    <row r="35" spans="1:30" ht="14" customHeight="1" x14ac:dyDescent="0.2">
      <c r="B35" s="49"/>
      <c r="C35" s="42"/>
      <c r="D35" s="42"/>
      <c r="E35" s="42"/>
      <c r="F35" s="51"/>
      <c r="G35" s="51"/>
      <c r="H35" s="51"/>
      <c r="I35" s="51"/>
      <c r="J35" s="51"/>
      <c r="K35" s="40"/>
      <c r="M35" s="512"/>
      <c r="N35" s="512"/>
      <c r="O35" s="512"/>
      <c r="P35" s="512"/>
      <c r="Q35" s="512"/>
      <c r="R35" s="512"/>
      <c r="S35" s="512"/>
      <c r="T35" s="512"/>
      <c r="U35" s="512"/>
      <c r="V35" s="512"/>
      <c r="W35" s="512"/>
      <c r="X35" s="512"/>
      <c r="Y35" s="512"/>
      <c r="Z35" s="512"/>
      <c r="AA35" s="512"/>
      <c r="AB35" s="512"/>
      <c r="AC35" s="512"/>
      <c r="AD35" s="512"/>
    </row>
    <row r="36" spans="1:30" ht="14" customHeight="1" x14ac:dyDescent="0.2">
      <c r="B36" s="49"/>
      <c r="C36" s="40"/>
      <c r="D36" s="40"/>
      <c r="E36" s="40"/>
      <c r="F36" s="51"/>
      <c r="G36" s="51"/>
      <c r="H36" s="48"/>
      <c r="I36" s="40"/>
      <c r="J36" s="40"/>
      <c r="K36" s="40"/>
      <c r="M36" s="512"/>
      <c r="N36" s="512"/>
      <c r="O36" s="512"/>
      <c r="P36" s="512"/>
      <c r="Q36" s="512"/>
      <c r="R36" s="512"/>
      <c r="S36" s="512"/>
      <c r="T36" s="512"/>
      <c r="U36" s="512"/>
      <c r="V36" s="512"/>
      <c r="W36" s="512"/>
      <c r="X36" s="512"/>
      <c r="Y36" s="512"/>
      <c r="Z36" s="512"/>
      <c r="AA36" s="512"/>
      <c r="AB36" s="512"/>
      <c r="AC36" s="512"/>
      <c r="AD36" s="512"/>
    </row>
    <row r="37" spans="1:30" ht="14" customHeight="1" x14ac:dyDescent="0.2">
      <c r="B37" s="49"/>
      <c r="C37" s="48"/>
      <c r="D37" s="48"/>
      <c r="E37" s="48"/>
      <c r="F37" s="51"/>
      <c r="G37" s="48"/>
      <c r="H37" s="40"/>
      <c r="I37" s="40"/>
      <c r="J37" s="40"/>
      <c r="K37" s="40"/>
      <c r="M37" s="512"/>
      <c r="N37" s="512"/>
      <c r="O37" s="512"/>
      <c r="P37" s="512"/>
      <c r="Q37" s="512"/>
      <c r="R37" s="512"/>
      <c r="S37" s="512"/>
      <c r="T37" s="512"/>
      <c r="U37" s="512"/>
      <c r="V37" s="512"/>
      <c r="W37" s="512"/>
      <c r="X37" s="512"/>
      <c r="Y37" s="512"/>
      <c r="Z37" s="512"/>
      <c r="AA37" s="512"/>
      <c r="AB37" s="512"/>
      <c r="AC37" s="512"/>
      <c r="AD37" s="512"/>
    </row>
    <row r="38" spans="1:30" ht="14" customHeight="1" x14ac:dyDescent="0.2">
      <c r="B38" s="49"/>
      <c r="C38" s="40"/>
      <c r="D38" s="40"/>
      <c r="E38" s="40"/>
      <c r="F38" s="51"/>
      <c r="G38" s="40"/>
      <c r="H38" s="40"/>
      <c r="I38" s="40"/>
      <c r="J38" s="40"/>
      <c r="K38" s="40"/>
      <c r="M38" s="512"/>
      <c r="N38" s="512"/>
      <c r="O38" s="512"/>
      <c r="P38" s="512"/>
      <c r="Q38" s="512"/>
      <c r="R38" s="512"/>
      <c r="S38" s="512"/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</row>
    <row r="39" spans="1:30" ht="14" customHeight="1" x14ac:dyDescent="0.2">
      <c r="B39" s="49"/>
      <c r="C39" s="40"/>
      <c r="D39" s="40"/>
      <c r="E39" s="40"/>
      <c r="F39" s="51"/>
      <c r="G39" s="40"/>
      <c r="H39" s="53"/>
      <c r="I39" s="53"/>
      <c r="J39" s="53"/>
      <c r="K39" s="40"/>
      <c r="M39" s="512"/>
      <c r="N39" s="512"/>
      <c r="O39" s="512"/>
      <c r="P39" s="512"/>
      <c r="Q39" s="512"/>
      <c r="R39" s="512"/>
      <c r="S39" s="512"/>
      <c r="T39" s="512"/>
      <c r="U39" s="512"/>
      <c r="V39" s="512"/>
      <c r="W39" s="512"/>
      <c r="X39" s="512"/>
      <c r="Y39" s="512"/>
      <c r="Z39" s="512"/>
      <c r="AA39" s="512"/>
      <c r="AB39" s="512"/>
      <c r="AC39" s="512"/>
      <c r="AD39" s="512"/>
    </row>
    <row r="40" spans="1:30" ht="14" customHeight="1" x14ac:dyDescent="0.2">
      <c r="B40" s="49"/>
      <c r="C40" s="40"/>
      <c r="D40" s="40"/>
      <c r="E40" s="40"/>
      <c r="F40" s="53"/>
      <c r="G40" s="53"/>
      <c r="H40" s="23"/>
      <c r="I40" s="26"/>
      <c r="M40" s="512"/>
      <c r="N40" s="512"/>
      <c r="O40" s="512"/>
      <c r="P40" s="512"/>
      <c r="Q40" s="512"/>
      <c r="R40" s="512"/>
      <c r="S40" s="512"/>
      <c r="T40" s="512"/>
      <c r="U40" s="512"/>
      <c r="V40" s="512"/>
      <c r="W40" s="512"/>
      <c r="X40" s="512"/>
      <c r="Y40" s="512"/>
      <c r="Z40" s="512"/>
      <c r="AA40" s="512"/>
      <c r="AB40" s="512"/>
      <c r="AC40" s="512"/>
      <c r="AD40" s="512"/>
    </row>
    <row r="41" spans="1:30" ht="14" customHeight="1" x14ac:dyDescent="0.2">
      <c r="B41" s="27"/>
      <c r="C41" s="26"/>
      <c r="D41" s="23"/>
      <c r="E41" s="23"/>
      <c r="F41" s="25"/>
      <c r="G41" s="23"/>
      <c r="H41" s="23"/>
      <c r="M41" s="512"/>
      <c r="N41" s="512"/>
      <c r="O41" s="512"/>
      <c r="P41" s="512"/>
      <c r="Q41" s="512"/>
      <c r="R41" s="512"/>
      <c r="S41" s="512"/>
      <c r="T41" s="512"/>
      <c r="U41" s="512"/>
      <c r="V41" s="512"/>
      <c r="W41" s="512"/>
      <c r="X41" s="512"/>
      <c r="Y41" s="512"/>
      <c r="Z41" s="512"/>
      <c r="AA41" s="512"/>
      <c r="AB41" s="512"/>
      <c r="AC41" s="512"/>
      <c r="AD41" s="512"/>
    </row>
    <row r="42" spans="1:30" ht="14" customHeight="1" x14ac:dyDescent="0.2">
      <c r="B42" s="24"/>
      <c r="C42" s="26"/>
      <c r="D42" s="23"/>
      <c r="E42" s="23"/>
      <c r="F42" s="25"/>
      <c r="G42" s="23"/>
      <c r="H42" s="23"/>
      <c r="I42" s="26"/>
      <c r="M42" s="512"/>
      <c r="N42" s="512"/>
      <c r="O42" s="512"/>
      <c r="P42" s="512"/>
      <c r="Q42" s="512"/>
      <c r="R42" s="512"/>
      <c r="S42" s="512"/>
      <c r="T42" s="512"/>
      <c r="U42" s="512"/>
      <c r="V42" s="512"/>
      <c r="W42" s="512"/>
      <c r="X42" s="512"/>
      <c r="Y42" s="512"/>
      <c r="Z42" s="512"/>
      <c r="AA42" s="512"/>
      <c r="AB42" s="512"/>
      <c r="AC42" s="512"/>
      <c r="AD42" s="512"/>
    </row>
    <row r="43" spans="1:30" ht="14" customHeight="1" x14ac:dyDescent="0.2">
      <c r="B43" s="24"/>
      <c r="C43" s="26"/>
      <c r="D43" s="23"/>
      <c r="E43" s="23"/>
      <c r="F43" s="25"/>
      <c r="G43" s="23"/>
      <c r="H43" s="23"/>
      <c r="I43" s="26"/>
      <c r="M43" s="512"/>
      <c r="N43" s="512"/>
      <c r="O43" s="512"/>
      <c r="P43" s="512"/>
      <c r="Q43" s="512"/>
      <c r="R43" s="512"/>
      <c r="S43" s="512"/>
      <c r="T43" s="512"/>
      <c r="U43" s="512"/>
      <c r="V43" s="512"/>
      <c r="W43" s="512"/>
      <c r="X43" s="512"/>
      <c r="Y43" s="512"/>
      <c r="Z43" s="512"/>
      <c r="AA43" s="512"/>
      <c r="AB43" s="512"/>
      <c r="AC43" s="512"/>
      <c r="AD43" s="512"/>
    </row>
    <row r="44" spans="1:30" ht="14" customHeight="1" x14ac:dyDescent="0.2">
      <c r="B44" s="24"/>
      <c r="C44" s="26"/>
      <c r="D44" s="23"/>
      <c r="E44" s="23"/>
      <c r="F44" s="25"/>
      <c r="G44" s="23"/>
      <c r="H44" s="23"/>
      <c r="I44" s="26"/>
      <c r="M44" s="512"/>
      <c r="N44" s="512"/>
      <c r="O44" s="512"/>
      <c r="P44" s="512"/>
      <c r="Q44" s="512"/>
      <c r="R44" s="512"/>
      <c r="S44" s="512"/>
      <c r="T44" s="512"/>
      <c r="U44" s="512"/>
      <c r="V44" s="512"/>
      <c r="W44" s="512"/>
      <c r="X44" s="512"/>
      <c r="Y44" s="512"/>
      <c r="Z44" s="512"/>
      <c r="AA44" s="512"/>
      <c r="AB44" s="512"/>
      <c r="AC44" s="512"/>
      <c r="AD44" s="512"/>
    </row>
    <row r="45" spans="1:30" ht="14" customHeight="1" x14ac:dyDescent="0.2">
      <c r="B45" s="29"/>
      <c r="C45" s="26"/>
      <c r="D45" s="23"/>
      <c r="E45" s="23"/>
      <c r="F45" s="28"/>
      <c r="G45" s="23"/>
      <c r="H45" s="26"/>
      <c r="I45" s="26"/>
      <c r="M45" s="512"/>
      <c r="N45" s="512"/>
      <c r="O45" s="512"/>
      <c r="P45" s="512"/>
      <c r="Q45" s="512"/>
      <c r="R45" s="512"/>
      <c r="S45" s="512"/>
      <c r="T45" s="512"/>
      <c r="U45" s="512"/>
      <c r="V45" s="512"/>
      <c r="W45" s="512"/>
      <c r="X45" s="512"/>
      <c r="Y45" s="512"/>
      <c r="Z45" s="512"/>
      <c r="AA45" s="512"/>
      <c r="AB45" s="512"/>
      <c r="AC45" s="512"/>
      <c r="AD45" s="512"/>
    </row>
    <row r="46" spans="1:30" ht="14" customHeight="1" x14ac:dyDescent="0.2">
      <c r="B46" s="29"/>
      <c r="C46" s="26"/>
      <c r="D46" s="26"/>
      <c r="E46" s="26"/>
      <c r="F46" s="28"/>
      <c r="G46" s="26"/>
      <c r="H46" s="26"/>
      <c r="I46" s="26"/>
      <c r="M46" s="512"/>
      <c r="N46" s="512"/>
      <c r="O46" s="512"/>
      <c r="P46" s="512"/>
      <c r="Q46" s="512"/>
      <c r="R46" s="512"/>
      <c r="S46" s="512"/>
      <c r="T46" s="512"/>
      <c r="U46" s="512"/>
      <c r="V46" s="512"/>
      <c r="W46" s="512"/>
      <c r="X46" s="512"/>
      <c r="Y46" s="512"/>
      <c r="Z46" s="512"/>
      <c r="AA46" s="512"/>
      <c r="AB46" s="512"/>
      <c r="AC46" s="512"/>
      <c r="AD46" s="512"/>
    </row>
    <row r="47" spans="1:30" ht="14" customHeight="1" x14ac:dyDescent="0.2">
      <c r="B47" s="31"/>
      <c r="C47" s="26"/>
      <c r="D47" s="26"/>
      <c r="E47" s="26"/>
      <c r="F47" s="28"/>
      <c r="G47" s="26"/>
      <c r="H47" s="32"/>
      <c r="I47" s="26"/>
      <c r="M47" s="512"/>
      <c r="N47" s="512"/>
      <c r="O47" s="512"/>
      <c r="P47" s="512"/>
      <c r="Q47" s="512"/>
      <c r="R47" s="512"/>
      <c r="S47" s="512"/>
      <c r="T47" s="512"/>
      <c r="U47" s="512"/>
      <c r="V47" s="512"/>
      <c r="W47" s="512"/>
      <c r="X47" s="512"/>
      <c r="Y47" s="512"/>
      <c r="Z47" s="512"/>
      <c r="AA47" s="512"/>
      <c r="AB47" s="512"/>
      <c r="AC47" s="512"/>
      <c r="AD47" s="512"/>
    </row>
    <row r="48" spans="1:30" ht="14" customHeight="1" x14ac:dyDescent="0.2">
      <c r="C48" s="21"/>
      <c r="D48" s="32"/>
      <c r="E48" s="32"/>
      <c r="F48" s="32"/>
      <c r="G48" s="32"/>
      <c r="M48" s="512"/>
      <c r="N48" s="512"/>
      <c r="O48" s="512"/>
      <c r="P48" s="512"/>
      <c r="Q48" s="512"/>
      <c r="R48" s="512"/>
      <c r="S48" s="512"/>
      <c r="T48" s="512"/>
      <c r="U48" s="512"/>
      <c r="V48" s="512"/>
      <c r="W48" s="512"/>
      <c r="X48" s="512"/>
      <c r="Y48" s="512"/>
      <c r="Z48" s="512"/>
      <c r="AA48" s="512"/>
      <c r="AB48" s="512"/>
      <c r="AC48" s="512"/>
      <c r="AD48" s="512"/>
    </row>
    <row r="49" spans="13:30" ht="14" customHeight="1" x14ac:dyDescent="0.2">
      <c r="M49" s="512"/>
      <c r="N49" s="512"/>
      <c r="O49" s="512"/>
      <c r="P49" s="512"/>
      <c r="Q49" s="512"/>
      <c r="R49" s="512"/>
      <c r="S49" s="512"/>
      <c r="T49" s="512"/>
      <c r="U49" s="512"/>
      <c r="V49" s="512"/>
      <c r="W49" s="512"/>
      <c r="X49" s="512"/>
      <c r="Y49" s="512"/>
      <c r="Z49" s="512"/>
      <c r="AA49" s="512"/>
      <c r="AB49" s="512"/>
      <c r="AC49" s="512"/>
      <c r="AD49" s="512"/>
    </row>
    <row r="50" spans="13:30" ht="14" customHeight="1" x14ac:dyDescent="0.2">
      <c r="M50" s="512"/>
      <c r="N50" s="512"/>
      <c r="O50" s="512"/>
      <c r="P50" s="512"/>
      <c r="Q50" s="512"/>
      <c r="R50" s="512"/>
      <c r="S50" s="512"/>
      <c r="T50" s="512"/>
      <c r="U50" s="512"/>
      <c r="V50" s="512"/>
      <c r="W50" s="512"/>
      <c r="X50" s="512"/>
      <c r="Y50" s="512"/>
      <c r="Z50" s="512"/>
      <c r="AA50" s="512"/>
      <c r="AB50" s="512"/>
      <c r="AC50" s="512"/>
      <c r="AD50" s="512"/>
    </row>
    <row r="51" spans="13:30" ht="14" customHeight="1" x14ac:dyDescent="0.2">
      <c r="M51" s="512"/>
      <c r="N51" s="512"/>
      <c r="O51" s="512"/>
      <c r="P51" s="512"/>
      <c r="Q51" s="512"/>
      <c r="R51" s="512"/>
      <c r="S51" s="512"/>
      <c r="T51" s="512"/>
      <c r="U51" s="512"/>
      <c r="V51" s="512"/>
      <c r="W51" s="512"/>
      <c r="X51" s="512"/>
      <c r="Y51" s="512"/>
      <c r="Z51" s="512"/>
      <c r="AA51" s="512"/>
      <c r="AB51" s="512"/>
      <c r="AC51" s="512"/>
      <c r="AD51" s="512"/>
    </row>
    <row r="52" spans="13:30" ht="14" customHeight="1" x14ac:dyDescent="0.2">
      <c r="M52" s="512"/>
      <c r="N52" s="512"/>
      <c r="O52" s="512"/>
      <c r="P52" s="512"/>
      <c r="Q52" s="512"/>
      <c r="R52" s="512"/>
      <c r="S52" s="512"/>
      <c r="T52" s="512"/>
      <c r="U52" s="512"/>
      <c r="V52" s="512"/>
      <c r="W52" s="512"/>
      <c r="X52" s="512"/>
      <c r="Y52" s="512"/>
      <c r="Z52" s="512"/>
      <c r="AA52" s="512"/>
      <c r="AB52" s="512"/>
      <c r="AC52" s="512"/>
      <c r="AD52" s="512"/>
    </row>
    <row r="53" spans="13:30" ht="14" customHeight="1" x14ac:dyDescent="0.2">
      <c r="M53" s="512"/>
      <c r="N53" s="512"/>
      <c r="O53" s="512"/>
      <c r="P53" s="512"/>
      <c r="Q53" s="512"/>
      <c r="R53" s="512"/>
      <c r="S53" s="512"/>
      <c r="T53" s="512"/>
      <c r="U53" s="512"/>
      <c r="V53" s="512"/>
      <c r="W53" s="512"/>
      <c r="X53" s="512"/>
      <c r="Y53" s="512"/>
      <c r="Z53" s="512"/>
      <c r="AA53" s="512"/>
      <c r="AB53" s="512"/>
      <c r="AC53" s="512"/>
      <c r="AD53" s="512"/>
    </row>
    <row r="54" spans="13:30" ht="14" customHeight="1" x14ac:dyDescent="0.2">
      <c r="M54" s="512"/>
      <c r="N54" s="512"/>
      <c r="O54" s="512"/>
      <c r="P54" s="512"/>
      <c r="Q54" s="512"/>
      <c r="R54" s="512"/>
      <c r="S54" s="512"/>
      <c r="T54" s="512"/>
      <c r="U54" s="512"/>
      <c r="V54" s="512"/>
      <c r="W54" s="512"/>
      <c r="X54" s="512"/>
      <c r="Y54" s="512"/>
      <c r="Z54" s="512"/>
      <c r="AA54" s="512"/>
      <c r="AB54" s="512"/>
      <c r="AC54" s="512"/>
      <c r="AD54" s="512"/>
    </row>
    <row r="55" spans="13:30" ht="14" customHeight="1" x14ac:dyDescent="0.2">
      <c r="M55" s="512"/>
      <c r="N55" s="512"/>
      <c r="O55" s="512"/>
      <c r="P55" s="512"/>
      <c r="Q55" s="512"/>
      <c r="R55" s="512"/>
      <c r="S55" s="512"/>
      <c r="T55" s="512"/>
      <c r="U55" s="512"/>
      <c r="V55" s="512"/>
      <c r="W55" s="512"/>
      <c r="X55" s="512"/>
      <c r="Y55" s="512"/>
      <c r="Z55" s="512"/>
      <c r="AA55" s="512"/>
      <c r="AB55" s="512"/>
      <c r="AC55" s="512"/>
      <c r="AD55" s="512"/>
    </row>
    <row r="56" spans="13:30" ht="14" customHeight="1" x14ac:dyDescent="0.2">
      <c r="M56" s="512"/>
      <c r="N56" s="512"/>
      <c r="O56" s="512"/>
      <c r="P56" s="512"/>
      <c r="Q56" s="512"/>
      <c r="R56" s="512"/>
      <c r="S56" s="512"/>
      <c r="T56" s="512"/>
      <c r="U56" s="512"/>
      <c r="V56" s="512"/>
      <c r="W56" s="512"/>
      <c r="X56" s="512"/>
      <c r="Y56" s="512"/>
      <c r="Z56" s="512"/>
      <c r="AA56" s="512"/>
      <c r="AB56" s="512"/>
      <c r="AC56" s="512"/>
      <c r="AD56" s="512"/>
    </row>
    <row r="57" spans="13:30" ht="14" customHeight="1" x14ac:dyDescent="0.2">
      <c r="M57" s="512"/>
      <c r="N57" s="512"/>
      <c r="O57" s="512"/>
      <c r="P57" s="512"/>
      <c r="Q57" s="512"/>
      <c r="R57" s="512"/>
      <c r="S57" s="512"/>
      <c r="T57" s="512"/>
      <c r="U57" s="512"/>
      <c r="V57" s="512"/>
      <c r="W57" s="512"/>
      <c r="X57" s="512"/>
      <c r="Y57" s="512"/>
      <c r="Z57" s="512"/>
      <c r="AA57" s="512"/>
      <c r="AB57" s="512"/>
      <c r="AC57" s="512"/>
      <c r="AD57" s="512"/>
    </row>
    <row r="58" spans="13:30" ht="14" customHeight="1" x14ac:dyDescent="0.2">
      <c r="M58" s="512"/>
      <c r="N58" s="512"/>
      <c r="O58" s="512"/>
      <c r="P58" s="512"/>
      <c r="Q58" s="512"/>
      <c r="R58" s="512"/>
      <c r="S58" s="512"/>
      <c r="T58" s="512"/>
      <c r="U58" s="512"/>
      <c r="V58" s="512"/>
      <c r="W58" s="512"/>
      <c r="X58" s="512"/>
      <c r="Y58" s="512"/>
      <c r="Z58" s="512"/>
      <c r="AA58" s="512"/>
      <c r="AB58" s="512"/>
      <c r="AC58" s="512"/>
      <c r="AD58" s="512"/>
    </row>
    <row r="59" spans="13:30" ht="14" customHeight="1" x14ac:dyDescent="0.2">
      <c r="M59" s="512"/>
      <c r="N59" s="512"/>
      <c r="O59" s="512"/>
      <c r="P59" s="512"/>
      <c r="Q59" s="512"/>
      <c r="R59" s="512"/>
      <c r="S59" s="512"/>
      <c r="T59" s="512"/>
      <c r="U59" s="512"/>
      <c r="V59" s="512"/>
      <c r="W59" s="512"/>
      <c r="X59" s="512"/>
      <c r="Y59" s="512"/>
      <c r="Z59" s="512"/>
      <c r="AA59" s="512"/>
      <c r="AB59" s="512"/>
      <c r="AC59" s="512"/>
      <c r="AD59" s="512"/>
    </row>
    <row r="60" spans="13:30" ht="14" customHeight="1" x14ac:dyDescent="0.2">
      <c r="M60" s="512"/>
      <c r="N60" s="512"/>
      <c r="O60" s="512"/>
      <c r="P60" s="512"/>
      <c r="Q60" s="512"/>
      <c r="R60" s="512"/>
      <c r="S60" s="512"/>
      <c r="T60" s="512"/>
      <c r="U60" s="512"/>
      <c r="V60" s="512"/>
      <c r="W60" s="512"/>
      <c r="X60" s="512"/>
      <c r="Y60" s="512"/>
      <c r="Z60" s="512"/>
      <c r="AA60" s="512"/>
      <c r="AB60" s="512"/>
      <c r="AC60" s="512"/>
      <c r="AD60" s="512"/>
    </row>
    <row r="61" spans="13:30" ht="14" customHeight="1" x14ac:dyDescent="0.2">
      <c r="M61" s="512"/>
      <c r="N61" s="512"/>
      <c r="O61" s="512"/>
      <c r="P61" s="512"/>
      <c r="Q61" s="512"/>
      <c r="R61" s="512"/>
      <c r="S61" s="512"/>
      <c r="T61" s="512"/>
      <c r="U61" s="512"/>
      <c r="V61" s="512"/>
      <c r="W61" s="512"/>
      <c r="X61" s="512"/>
      <c r="Y61" s="512"/>
      <c r="Z61" s="512"/>
      <c r="AA61" s="512"/>
      <c r="AB61" s="512"/>
      <c r="AC61" s="512"/>
      <c r="AD61" s="512"/>
    </row>
    <row r="62" spans="13:30" ht="14" customHeight="1" x14ac:dyDescent="0.2">
      <c r="M62" s="512"/>
      <c r="N62" s="512"/>
      <c r="O62" s="512"/>
      <c r="P62" s="512"/>
      <c r="Q62" s="512"/>
      <c r="R62" s="512"/>
      <c r="S62" s="512"/>
      <c r="T62" s="512"/>
      <c r="U62" s="512"/>
      <c r="V62" s="512"/>
      <c r="W62" s="512"/>
      <c r="X62" s="512"/>
      <c r="Y62" s="512"/>
      <c r="Z62" s="512"/>
      <c r="AA62" s="512"/>
      <c r="AB62" s="512"/>
      <c r="AC62" s="512"/>
      <c r="AD62" s="512"/>
    </row>
  </sheetData>
  <mergeCells count="3">
    <mergeCell ref="D1:F1"/>
    <mergeCell ref="C13:D14"/>
    <mergeCell ref="M28:AD6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Documentation</vt:lpstr>
      <vt:lpstr>Income Statement</vt:lpstr>
      <vt:lpstr>Balance Sheet</vt:lpstr>
      <vt:lpstr>Cash Flows</vt:lpstr>
      <vt:lpstr>Fixed Asset</vt:lpstr>
      <vt:lpstr>Working Cap</vt:lpstr>
      <vt:lpstr> DCF - WACC From Model</vt:lpstr>
      <vt:lpstr> DCF - Bloom WACC</vt:lpstr>
      <vt:lpstr> DCF - Ideal Cap Structure</vt:lpstr>
      <vt:lpstr> DCF - Comps WACC</vt:lpstr>
      <vt:lpstr>Full Comparables</vt:lpstr>
      <vt:lpstr>Football Field - Base EPS</vt:lpstr>
    </vt:vector>
  </TitlesOfParts>
  <Company>Miami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2017-01-07T00:15:43Z</cp:lastPrinted>
  <dcterms:created xsi:type="dcterms:W3CDTF">2016-10-10T23:57:51Z</dcterms:created>
  <dcterms:modified xsi:type="dcterms:W3CDTF">2017-04-12T18:36:42Z</dcterms:modified>
</cp:coreProperties>
</file>