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8.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0.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bekaert-my.sharepoint.com/personal/oscar_cedeno_bekaert_com/Documents/Desktop/"/>
    </mc:Choice>
  </mc:AlternateContent>
  <xr:revisionPtr revIDLastSave="2" documentId="8_{62AAB020-83A5-40ED-9707-DD8EB29BBD49}" xr6:coauthVersionLast="47" xr6:coauthVersionMax="47" xr10:uidLastSave="{C924B366-6639-4C1B-889F-EDADB99C8A47}"/>
  <bookViews>
    <workbookView xWindow="-110" yWindow="-110" windowWidth="19420" windowHeight="11500" tabRatio="809" firstSheet="2" activeTab="3" xr2:uid="{00000000-000D-0000-FFFF-FFFF00000000}"/>
  </bookViews>
  <sheets>
    <sheet name="DATOS PARTIDA" sheetId="1" r:id="rId1"/>
    <sheet name="DATOS (1)" sheetId="22" r:id="rId2"/>
    <sheet name="MENU PRINCIPAL" sheetId="12" r:id="rId3"/>
    <sheet name="Ingreso" sheetId="3" r:id="rId4"/>
    <sheet name="Calculo" sheetId="5" state="hidden" r:id="rId5"/>
    <sheet name="Ingresar" sheetId="17" r:id="rId6"/>
    <sheet name="Calcular" sheetId="19" state="hidden" r:id="rId7"/>
    <sheet name="Salida" sheetId="8" r:id="rId8"/>
    <sheet name="Salidar" sheetId="18" r:id="rId9"/>
    <sheet name="Lineal" sheetId="10" r:id="rId10"/>
    <sheet name="Cubicador" sheetId="14" r:id="rId11"/>
    <sheet name="Lineal 2" sheetId="13" r:id="rId12"/>
    <sheet name="CP_2026" sheetId="2" r:id="rId13"/>
    <sheet name="CERCAPRO Marzo9" sheetId="21" r:id="rId14"/>
  </sheets>
  <externalReferences>
    <externalReference r:id="rId15"/>
  </externalReferences>
  <definedNames>
    <definedName name="_xlnm._FilterDatabase" localSheetId="12" hidden="1">CP_2026!$A$8:$Y$91</definedName>
    <definedName name="_xlnm.Print_Area" localSheetId="13">'CERCAPRO Marzo9'!$A$1:$L$74</definedName>
    <definedName name="_xlnm.Print_Area" localSheetId="12">CP_2026!$A$1:$L$90</definedName>
    <definedName name="_xlnm.Print_Area" localSheetId="10">Cubicador!$A$2:$G$343</definedName>
    <definedName name="_xlnm.Print_Area" localSheetId="9">Lineal!$A$2:$I$167</definedName>
    <definedName name="_xlnm.Print_Area" localSheetId="11">'Lineal 2'!$B$12:$P$26</definedName>
    <definedName name="_xlnm.Print_Area" localSheetId="2">'MENU PRINCIPAL'!$A$1:$G$15</definedName>
    <definedName name="_xlnm.Print_Area" localSheetId="7">Salida!$A$2:$G$343</definedName>
    <definedName name="_xlnm.Print_Area" localSheetId="8">Salidar!$A$2:$G$343</definedName>
    <definedName name="Color208" localSheetId="13">[1]DATOS!#REF!</definedName>
    <definedName name="Color208" localSheetId="12">#REF!</definedName>
    <definedName name="Color208" localSheetId="10">#REF!</definedName>
    <definedName name="Color208" localSheetId="5">#REF!</definedName>
    <definedName name="Color208" localSheetId="3">#REF!</definedName>
    <definedName name="Color208" localSheetId="9">#REF!</definedName>
    <definedName name="Color208" localSheetId="2">#REF!</definedName>
    <definedName name="Color208" localSheetId="7">#REF!</definedName>
    <definedName name="Color208" localSheetId="8">#REF!</definedName>
    <definedName name="Color208">#REF!</definedName>
    <definedName name="Malla2010" localSheetId="13">[1]DATOS!#REF!</definedName>
    <definedName name="Malla2010" localSheetId="12">#REF!</definedName>
    <definedName name="Malla2010" localSheetId="10">#REF!</definedName>
    <definedName name="Malla2010" localSheetId="5">#REF!</definedName>
    <definedName name="Malla2010" localSheetId="3">#REF!</definedName>
    <definedName name="Malla2010" localSheetId="9">#REF!</definedName>
    <definedName name="Malla2010" localSheetId="2">#REF!</definedName>
    <definedName name="Malla2010" localSheetId="7">#REF!</definedName>
    <definedName name="Malla2010" localSheetId="8">#REF!</definedName>
    <definedName name="Malla2010">#REF!</definedName>
    <definedName name="_xlnm.Print_Titles" localSheetId="13">'CERCAPRO Marzo9'!$1:$7</definedName>
    <definedName name="_xlnm.Print_Titles" localSheetId="12">CP_2026!$1:$7</definedName>
  </definedNames>
  <calcPr calcId="191029"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9" i="2" l="1"/>
  <c r="A5" i="2" l="1"/>
  <c r="D37" i="3"/>
  <c r="D36" i="3"/>
  <c r="L94" i="2"/>
  <c r="G90" i="2"/>
  <c r="J80" i="2"/>
  <c r="H81" i="2"/>
  <c r="F82" i="2"/>
  <c r="F84" i="2"/>
  <c r="F85" i="2"/>
  <c r="J86" i="2"/>
  <c r="J87" i="2"/>
  <c r="I78" i="2"/>
  <c r="J58" i="2"/>
  <c r="F59" i="2"/>
  <c r="G61" i="2"/>
  <c r="K63" i="2"/>
  <c r="F64" i="2"/>
  <c r="F65" i="2"/>
  <c r="J66" i="2"/>
  <c r="F67" i="2"/>
  <c r="J68" i="2"/>
  <c r="H69" i="2"/>
  <c r="F70" i="2"/>
  <c r="G71" i="2"/>
  <c r="F75" i="2"/>
  <c r="K55" i="2"/>
  <c r="F29" i="2"/>
  <c r="H30" i="2"/>
  <c r="F31" i="2"/>
  <c r="F32" i="2"/>
  <c r="H33" i="2"/>
  <c r="J34" i="2"/>
  <c r="G35" i="2"/>
  <c r="K37" i="2"/>
  <c r="I38" i="2"/>
  <c r="J40" i="2"/>
  <c r="F41" i="2"/>
  <c r="H42" i="2"/>
  <c r="J43" i="2"/>
  <c r="F44" i="2"/>
  <c r="K45" i="2"/>
  <c r="I46" i="2"/>
  <c r="F47" i="2"/>
  <c r="F48" i="2"/>
  <c r="F49" i="2"/>
  <c r="J50" i="2"/>
  <c r="K51" i="2"/>
  <c r="K27" i="2"/>
  <c r="F39" i="2"/>
  <c r="F27" i="2"/>
  <c r="K35" i="2"/>
  <c r="F36" i="2"/>
  <c r="F52" i="2"/>
  <c r="K94" i="2"/>
  <c r="J94" i="2"/>
  <c r="I94" i="2"/>
  <c r="H94" i="2"/>
  <c r="G94" i="2"/>
  <c r="F94" i="2"/>
  <c r="K90" i="2"/>
  <c r="J90" i="2"/>
  <c r="I90" i="2"/>
  <c r="H90" i="2"/>
  <c r="F79" i="2"/>
  <c r="G79" i="2"/>
  <c r="H79" i="2"/>
  <c r="I79" i="2"/>
  <c r="J79" i="2"/>
  <c r="K79" i="2"/>
  <c r="F80" i="2"/>
  <c r="G80" i="2"/>
  <c r="H80" i="2"/>
  <c r="I80" i="2"/>
  <c r="G82" i="2"/>
  <c r="I82" i="2"/>
  <c r="K82" i="2"/>
  <c r="F83" i="2"/>
  <c r="G83" i="2"/>
  <c r="H83" i="2"/>
  <c r="I83" i="2"/>
  <c r="J83" i="2"/>
  <c r="K83" i="2"/>
  <c r="I84" i="2"/>
  <c r="K84" i="2"/>
  <c r="G86" i="2"/>
  <c r="F56" i="2"/>
  <c r="G56" i="2"/>
  <c r="H56" i="2"/>
  <c r="I56" i="2"/>
  <c r="J56" i="2"/>
  <c r="K56" i="2"/>
  <c r="F57" i="2"/>
  <c r="G57" i="2"/>
  <c r="H57" i="2"/>
  <c r="I57" i="2"/>
  <c r="J57" i="2"/>
  <c r="K57" i="2"/>
  <c r="F58" i="2"/>
  <c r="G58" i="2"/>
  <c r="H58" i="2"/>
  <c r="I58" i="2"/>
  <c r="I59" i="2"/>
  <c r="J59" i="2"/>
  <c r="K59" i="2"/>
  <c r="F60" i="2"/>
  <c r="G60" i="2"/>
  <c r="H60" i="2"/>
  <c r="I60" i="2"/>
  <c r="J60" i="2"/>
  <c r="K60" i="2"/>
  <c r="F61" i="2"/>
  <c r="F62" i="2"/>
  <c r="G62" i="2"/>
  <c r="H62" i="2"/>
  <c r="I62" i="2"/>
  <c r="J62" i="2"/>
  <c r="K62" i="2"/>
  <c r="F63" i="2"/>
  <c r="G63" i="2"/>
  <c r="H63" i="2"/>
  <c r="I63" i="2"/>
  <c r="J63" i="2"/>
  <c r="G65" i="2"/>
  <c r="K68" i="2"/>
  <c r="F69" i="2"/>
  <c r="G69" i="2"/>
  <c r="F72" i="2"/>
  <c r="G72" i="2"/>
  <c r="H72" i="2"/>
  <c r="I72" i="2"/>
  <c r="J72" i="2"/>
  <c r="K72" i="2"/>
  <c r="F73" i="2"/>
  <c r="G73" i="2"/>
  <c r="H73" i="2"/>
  <c r="I73" i="2"/>
  <c r="J73" i="2"/>
  <c r="K73" i="2"/>
  <c r="F74" i="2"/>
  <c r="G74" i="2"/>
  <c r="H74" i="2"/>
  <c r="I74" i="2"/>
  <c r="J74" i="2"/>
  <c r="K74" i="2"/>
  <c r="H75" i="2"/>
  <c r="I75" i="2"/>
  <c r="J75" i="2"/>
  <c r="K75" i="2"/>
  <c r="F28" i="2"/>
  <c r="G28" i="2"/>
  <c r="H28" i="2"/>
  <c r="I28" i="2"/>
  <c r="J28" i="2"/>
  <c r="K28" i="2"/>
  <c r="K29" i="2"/>
  <c r="G30" i="2"/>
  <c r="I32" i="2"/>
  <c r="J32" i="2"/>
  <c r="K32" i="2"/>
  <c r="F35" i="2"/>
  <c r="I35" i="2"/>
  <c r="J35" i="2"/>
  <c r="G36" i="2"/>
  <c r="H36" i="2"/>
  <c r="K36" i="2"/>
  <c r="F37" i="2"/>
  <c r="G37" i="2"/>
  <c r="H37" i="2"/>
  <c r="J37" i="2"/>
  <c r="F38" i="2"/>
  <c r="G38" i="2"/>
  <c r="H38" i="2"/>
  <c r="H44" i="2"/>
  <c r="I44" i="2"/>
  <c r="J44" i="2"/>
  <c r="K44" i="2"/>
  <c r="F45" i="2"/>
  <c r="G45" i="2"/>
  <c r="H45" i="2"/>
  <c r="J45" i="2"/>
  <c r="F46" i="2"/>
  <c r="G46" i="2"/>
  <c r="H46" i="2"/>
  <c r="G50" i="2"/>
  <c r="H50" i="2"/>
  <c r="I50" i="2"/>
  <c r="G51" i="2"/>
  <c r="G52" i="2"/>
  <c r="H52" i="2"/>
  <c r="K52" i="2"/>
  <c r="F53" i="2"/>
  <c r="G53" i="2"/>
  <c r="H53" i="2"/>
  <c r="I53" i="2"/>
  <c r="J53" i="2"/>
  <c r="K53" i="2"/>
  <c r="K74" i="21"/>
  <c r="J74" i="21"/>
  <c r="I74" i="21"/>
  <c r="G74" i="21"/>
  <c r="H74" i="21" s="1"/>
  <c r="F74" i="21"/>
  <c r="K70" i="21"/>
  <c r="J70" i="21"/>
  <c r="I70" i="21"/>
  <c r="H70" i="21"/>
  <c r="G70" i="21"/>
  <c r="F70" i="21"/>
  <c r="K69" i="21"/>
  <c r="J69" i="21"/>
  <c r="I69" i="21"/>
  <c r="H69" i="21"/>
  <c r="G69" i="21"/>
  <c r="F69" i="21"/>
  <c r="K68" i="21"/>
  <c r="J68" i="21"/>
  <c r="I68" i="21"/>
  <c r="H68" i="21"/>
  <c r="G68" i="21"/>
  <c r="F68" i="21"/>
  <c r="K67" i="21"/>
  <c r="J67" i="21"/>
  <c r="I67" i="21"/>
  <c r="H67" i="21"/>
  <c r="G67" i="21"/>
  <c r="F67" i="21"/>
  <c r="K66" i="21"/>
  <c r="J66" i="21"/>
  <c r="I66" i="21"/>
  <c r="H66" i="21"/>
  <c r="G66" i="21"/>
  <c r="F66" i="21"/>
  <c r="K65" i="21"/>
  <c r="J65" i="21"/>
  <c r="I65" i="21"/>
  <c r="H65" i="21"/>
  <c r="G65" i="21"/>
  <c r="F65" i="21"/>
  <c r="K64" i="21"/>
  <c r="J64" i="21"/>
  <c r="I64" i="21"/>
  <c r="H64" i="21"/>
  <c r="G64" i="21"/>
  <c r="F64" i="21"/>
  <c r="K63" i="21"/>
  <c r="J63" i="21"/>
  <c r="I63" i="21"/>
  <c r="H63" i="21"/>
  <c r="G63" i="21"/>
  <c r="F63" i="21"/>
  <c r="K62" i="21"/>
  <c r="J62" i="21"/>
  <c r="I62" i="21"/>
  <c r="H62" i="21"/>
  <c r="G62" i="21"/>
  <c r="F62" i="21"/>
  <c r="K61" i="21"/>
  <c r="J61" i="21"/>
  <c r="I61" i="21"/>
  <c r="H61" i="21"/>
  <c r="G61" i="21"/>
  <c r="F61" i="21"/>
  <c r="K59" i="21"/>
  <c r="J59" i="21"/>
  <c r="I59" i="21"/>
  <c r="H59" i="21"/>
  <c r="G59" i="21"/>
  <c r="F59" i="21"/>
  <c r="K58" i="21"/>
  <c r="J58" i="21"/>
  <c r="I58" i="21"/>
  <c r="H58" i="21"/>
  <c r="G58" i="21"/>
  <c r="F58" i="21"/>
  <c r="K57" i="21"/>
  <c r="J57" i="21"/>
  <c r="I57" i="21"/>
  <c r="H57" i="21"/>
  <c r="G57" i="21"/>
  <c r="F57" i="21"/>
  <c r="K56" i="21"/>
  <c r="J56" i="21"/>
  <c r="I56" i="21"/>
  <c r="H56" i="21"/>
  <c r="G56" i="21"/>
  <c r="F56" i="21"/>
  <c r="K55" i="21"/>
  <c r="J55" i="21"/>
  <c r="I55" i="21"/>
  <c r="H55" i="21"/>
  <c r="G55" i="21"/>
  <c r="F55" i="21"/>
  <c r="K54" i="21"/>
  <c r="J54" i="21"/>
  <c r="I54" i="21"/>
  <c r="H54" i="21"/>
  <c r="G54" i="21"/>
  <c r="F54" i="21"/>
  <c r="K53" i="21"/>
  <c r="J53" i="21"/>
  <c r="I53" i="21"/>
  <c r="H53" i="21"/>
  <c r="G53" i="21"/>
  <c r="F53" i="21"/>
  <c r="K52" i="21"/>
  <c r="J52" i="21"/>
  <c r="I52" i="21"/>
  <c r="H52" i="21"/>
  <c r="G52" i="21"/>
  <c r="F52" i="21"/>
  <c r="K51" i="21"/>
  <c r="J51" i="21"/>
  <c r="I51" i="21"/>
  <c r="H51" i="21"/>
  <c r="G51" i="21"/>
  <c r="F51" i="21"/>
  <c r="K50" i="21"/>
  <c r="J50" i="21"/>
  <c r="I50" i="21"/>
  <c r="H50" i="21"/>
  <c r="G50" i="21"/>
  <c r="F50" i="21"/>
  <c r="K49" i="21"/>
  <c r="J49" i="21"/>
  <c r="I49" i="21"/>
  <c r="H49" i="21"/>
  <c r="G49" i="21"/>
  <c r="F49" i="21"/>
  <c r="K48" i="21"/>
  <c r="J48" i="21"/>
  <c r="I48" i="21"/>
  <c r="H48" i="21"/>
  <c r="G48" i="21"/>
  <c r="F48" i="21"/>
  <c r="K47" i="21"/>
  <c r="J47" i="21"/>
  <c r="I47" i="21"/>
  <c r="H47" i="21"/>
  <c r="G47" i="21"/>
  <c r="F47" i="21"/>
  <c r="K46" i="21"/>
  <c r="J46" i="21"/>
  <c r="I46" i="21"/>
  <c r="H46" i="21"/>
  <c r="G46" i="21"/>
  <c r="F46" i="21"/>
  <c r="K45" i="21"/>
  <c r="J45" i="21"/>
  <c r="I45" i="21"/>
  <c r="H45" i="21"/>
  <c r="G45" i="21"/>
  <c r="F45" i="21"/>
  <c r="K44" i="21"/>
  <c r="J44" i="21"/>
  <c r="I44" i="21"/>
  <c r="H44" i="21"/>
  <c r="G44" i="21"/>
  <c r="F44" i="21"/>
  <c r="K43" i="21"/>
  <c r="J43" i="21"/>
  <c r="I43" i="21"/>
  <c r="H43" i="21"/>
  <c r="G43" i="21"/>
  <c r="F43" i="21"/>
  <c r="K42" i="21"/>
  <c r="J42" i="21"/>
  <c r="I42" i="21"/>
  <c r="H42" i="21"/>
  <c r="G42" i="21"/>
  <c r="F42" i="21"/>
  <c r="K41" i="21"/>
  <c r="J41" i="21"/>
  <c r="I41" i="21"/>
  <c r="H41" i="21"/>
  <c r="G41" i="21"/>
  <c r="F41" i="21"/>
  <c r="K40" i="21"/>
  <c r="J40" i="21"/>
  <c r="I40" i="21"/>
  <c r="H40" i="21"/>
  <c r="G40" i="21"/>
  <c r="F40" i="21"/>
  <c r="K39" i="21"/>
  <c r="J39" i="21"/>
  <c r="I39" i="21"/>
  <c r="H39" i="21"/>
  <c r="G39" i="21"/>
  <c r="F39" i="21"/>
  <c r="K37" i="21"/>
  <c r="J37" i="21"/>
  <c r="I37" i="21"/>
  <c r="H37" i="21"/>
  <c r="G37" i="21"/>
  <c r="F37" i="21"/>
  <c r="K36" i="21"/>
  <c r="J36" i="21"/>
  <c r="I36" i="21"/>
  <c r="H36" i="21"/>
  <c r="G36" i="21"/>
  <c r="F36" i="21"/>
  <c r="K35" i="21"/>
  <c r="J35" i="21"/>
  <c r="I35" i="21"/>
  <c r="H35" i="21"/>
  <c r="G35" i="21"/>
  <c r="F35" i="21"/>
  <c r="K34" i="21"/>
  <c r="J34" i="21"/>
  <c r="I34" i="21"/>
  <c r="H34" i="21"/>
  <c r="G34" i="21"/>
  <c r="F34" i="21"/>
  <c r="K33" i="21"/>
  <c r="J33" i="21"/>
  <c r="I33" i="21"/>
  <c r="H33" i="21"/>
  <c r="G33" i="21"/>
  <c r="F33" i="21"/>
  <c r="K32" i="21"/>
  <c r="J32" i="21"/>
  <c r="I32" i="21"/>
  <c r="H32" i="21"/>
  <c r="G32" i="21"/>
  <c r="F32" i="21"/>
  <c r="K31" i="21"/>
  <c r="J31" i="21"/>
  <c r="I31" i="21"/>
  <c r="H31" i="21"/>
  <c r="G31" i="21"/>
  <c r="F31" i="21"/>
  <c r="K30" i="21"/>
  <c r="J30" i="21"/>
  <c r="I30" i="21"/>
  <c r="H30" i="21"/>
  <c r="G30" i="21"/>
  <c r="F30" i="21"/>
  <c r="K29" i="21"/>
  <c r="J29" i="21"/>
  <c r="I29" i="21"/>
  <c r="H29" i="21"/>
  <c r="G29" i="21"/>
  <c r="F29" i="21"/>
  <c r="K28" i="21"/>
  <c r="J28" i="21"/>
  <c r="I28" i="21"/>
  <c r="H28" i="21"/>
  <c r="G28" i="21"/>
  <c r="F28" i="21"/>
  <c r="K27" i="21"/>
  <c r="J27" i="21"/>
  <c r="I27" i="21"/>
  <c r="H27" i="21"/>
  <c r="G27" i="21"/>
  <c r="F27" i="21"/>
  <c r="K26" i="21"/>
  <c r="J26" i="21"/>
  <c r="I26" i="21"/>
  <c r="H26" i="21"/>
  <c r="G26" i="21"/>
  <c r="F26" i="21"/>
  <c r="K25" i="21"/>
  <c r="J25" i="21"/>
  <c r="I25" i="21"/>
  <c r="H25" i="21"/>
  <c r="G25" i="21"/>
  <c r="F25" i="21"/>
  <c r="K24" i="21"/>
  <c r="J24" i="21"/>
  <c r="I24" i="21"/>
  <c r="H24" i="21"/>
  <c r="G24" i="21"/>
  <c r="F24" i="21"/>
  <c r="K23" i="21"/>
  <c r="J23" i="21"/>
  <c r="I23" i="21"/>
  <c r="H23" i="21"/>
  <c r="G23" i="21"/>
  <c r="F23" i="21"/>
  <c r="K22" i="21"/>
  <c r="J22" i="21"/>
  <c r="I22" i="21"/>
  <c r="H22" i="21"/>
  <c r="G22" i="21"/>
  <c r="F22" i="21"/>
  <c r="K21" i="21"/>
  <c r="J21" i="21"/>
  <c r="I21" i="21"/>
  <c r="H21" i="21"/>
  <c r="G21" i="21"/>
  <c r="F21" i="21"/>
  <c r="K20" i="21"/>
  <c r="J20" i="21"/>
  <c r="I20" i="21"/>
  <c r="H20" i="21"/>
  <c r="G20" i="21"/>
  <c r="F20" i="21"/>
  <c r="K19" i="21"/>
  <c r="J19" i="21"/>
  <c r="I19" i="21"/>
  <c r="H19" i="21"/>
  <c r="G19" i="21"/>
  <c r="F19" i="21"/>
  <c r="K18" i="21"/>
  <c r="J18" i="21"/>
  <c r="I18" i="21"/>
  <c r="H18" i="21"/>
  <c r="G18" i="21"/>
  <c r="F18" i="21"/>
  <c r="K17" i="21"/>
  <c r="J17" i="21"/>
  <c r="I17" i="21"/>
  <c r="H17" i="21"/>
  <c r="G17" i="21"/>
  <c r="F17" i="21"/>
  <c r="K16" i="21"/>
  <c r="J16" i="21"/>
  <c r="I16" i="21"/>
  <c r="H16" i="21"/>
  <c r="G16" i="21"/>
  <c r="F16" i="21"/>
  <c r="K15" i="21"/>
  <c r="J15" i="21"/>
  <c r="I15" i="21"/>
  <c r="H15" i="21"/>
  <c r="G15" i="21"/>
  <c r="F15" i="21"/>
  <c r="K14" i="21"/>
  <c r="J14" i="21"/>
  <c r="I14" i="21"/>
  <c r="H14" i="21"/>
  <c r="G14" i="21"/>
  <c r="F14" i="21"/>
  <c r="K13" i="21"/>
  <c r="J13" i="21"/>
  <c r="I13" i="21"/>
  <c r="H13" i="21"/>
  <c r="G13" i="21"/>
  <c r="F13" i="21"/>
  <c r="K11" i="21"/>
  <c r="J11" i="21"/>
  <c r="I11" i="21"/>
  <c r="H11" i="21"/>
  <c r="G11" i="21"/>
  <c r="F11" i="21"/>
  <c r="K10" i="21"/>
  <c r="J10" i="21"/>
  <c r="I10" i="21"/>
  <c r="H10" i="21"/>
  <c r="G10" i="21"/>
  <c r="F10" i="21"/>
  <c r="K9" i="21"/>
  <c r="J9" i="21"/>
  <c r="I9" i="21"/>
  <c r="H9" i="21"/>
  <c r="G9" i="21"/>
  <c r="F9" i="21"/>
  <c r="G33" i="2" l="1"/>
  <c r="K87" i="2"/>
  <c r="I66" i="2"/>
  <c r="H66" i="2"/>
  <c r="I87" i="2"/>
  <c r="K49" i="2"/>
  <c r="G66" i="2"/>
  <c r="H87" i="2"/>
  <c r="J49" i="2"/>
  <c r="F66" i="2"/>
  <c r="G87" i="2"/>
  <c r="I49" i="2"/>
  <c r="H32" i="2"/>
  <c r="K65" i="2"/>
  <c r="F87" i="2"/>
  <c r="H49" i="2"/>
  <c r="G32" i="2"/>
  <c r="J65" i="2"/>
  <c r="I86" i="2"/>
  <c r="G49" i="2"/>
  <c r="I65" i="2"/>
  <c r="H86" i="2"/>
  <c r="H34" i="2"/>
  <c r="F33" i="2"/>
  <c r="K48" i="2"/>
  <c r="F30" i="2"/>
  <c r="K64" i="2"/>
  <c r="F86" i="2"/>
  <c r="J48" i="2"/>
  <c r="K34" i="2"/>
  <c r="G75" i="2"/>
  <c r="J64" i="2"/>
  <c r="H59" i="2"/>
  <c r="K85" i="2"/>
  <c r="I48" i="2"/>
  <c r="G44" i="2"/>
  <c r="J29" i="2"/>
  <c r="I64" i="2"/>
  <c r="K61" i="2"/>
  <c r="G59" i="2"/>
  <c r="J85" i="2"/>
  <c r="K81" i="2"/>
  <c r="H48" i="2"/>
  <c r="K33" i="2"/>
  <c r="I29" i="2"/>
  <c r="H64" i="2"/>
  <c r="J61" i="2"/>
  <c r="I85" i="2"/>
  <c r="G81" i="2"/>
  <c r="I37" i="2"/>
  <c r="G48" i="2"/>
  <c r="J33" i="2"/>
  <c r="H29" i="2"/>
  <c r="G64" i="2"/>
  <c r="I61" i="2"/>
  <c r="K58" i="2"/>
  <c r="H85" i="2"/>
  <c r="F81" i="2"/>
  <c r="I45" i="2"/>
  <c r="I33" i="2"/>
  <c r="G29" i="2"/>
  <c r="H61" i="2"/>
  <c r="G85" i="2"/>
  <c r="K80" i="2"/>
  <c r="K46" i="2"/>
  <c r="K78" i="2"/>
  <c r="F90" i="2"/>
  <c r="J82" i="2"/>
  <c r="H82" i="2"/>
  <c r="J84" i="2"/>
  <c r="J81" i="2"/>
  <c r="K86" i="2"/>
  <c r="G84" i="2"/>
  <c r="I81" i="2"/>
  <c r="H84" i="2"/>
  <c r="J78" i="2"/>
  <c r="F78" i="2"/>
  <c r="G78" i="2"/>
  <c r="H78" i="2"/>
  <c r="I68" i="2"/>
  <c r="K70" i="2"/>
  <c r="G68" i="2"/>
  <c r="I71" i="2"/>
  <c r="J70" i="2"/>
  <c r="F68" i="2"/>
  <c r="H65" i="2"/>
  <c r="I70" i="2"/>
  <c r="K67" i="2"/>
  <c r="H70" i="2"/>
  <c r="J67" i="2"/>
  <c r="H68" i="2"/>
  <c r="G70" i="2"/>
  <c r="I67" i="2"/>
  <c r="K71" i="2"/>
  <c r="H67" i="2"/>
  <c r="F71" i="2"/>
  <c r="K69" i="2"/>
  <c r="G67" i="2"/>
  <c r="J71" i="2"/>
  <c r="J69" i="2"/>
  <c r="I69" i="2"/>
  <c r="K66" i="2"/>
  <c r="H71" i="2"/>
  <c r="F55" i="2"/>
  <c r="G55" i="2"/>
  <c r="H55" i="2"/>
  <c r="I55" i="2"/>
  <c r="J55" i="2"/>
  <c r="G47" i="2"/>
  <c r="J51" i="2"/>
  <c r="I51" i="2"/>
  <c r="H51" i="2"/>
  <c r="I30" i="2"/>
  <c r="F51" i="2"/>
  <c r="K50" i="2"/>
  <c r="H35" i="2"/>
  <c r="F50" i="2"/>
  <c r="K43" i="2"/>
  <c r="G41" i="2"/>
  <c r="H40" i="2"/>
  <c r="K40" i="2"/>
  <c r="H43" i="2"/>
  <c r="I43" i="2"/>
  <c r="G40" i="2"/>
  <c r="F40" i="2"/>
  <c r="K47" i="2"/>
  <c r="I42" i="2"/>
  <c r="K39" i="2"/>
  <c r="I34" i="2"/>
  <c r="K31" i="2"/>
  <c r="K42" i="2"/>
  <c r="I40" i="2"/>
  <c r="J42" i="2"/>
  <c r="J31" i="2"/>
  <c r="I47" i="2"/>
  <c r="G42" i="2"/>
  <c r="I39" i="2"/>
  <c r="G34" i="2"/>
  <c r="J52" i="2"/>
  <c r="H47" i="2"/>
  <c r="F42" i="2"/>
  <c r="H39" i="2"/>
  <c r="J36" i="2"/>
  <c r="F34" i="2"/>
  <c r="H31" i="2"/>
  <c r="J47" i="2"/>
  <c r="J39" i="2"/>
  <c r="I31" i="2"/>
  <c r="I52" i="2"/>
  <c r="K41" i="2"/>
  <c r="G39" i="2"/>
  <c r="I36" i="2"/>
  <c r="G31" i="2"/>
  <c r="J41" i="2"/>
  <c r="J46" i="2"/>
  <c r="H41" i="2"/>
  <c r="J38" i="2"/>
  <c r="J30" i="2"/>
  <c r="G43" i="2"/>
  <c r="F43" i="2"/>
  <c r="I41" i="2"/>
  <c r="K38" i="2"/>
  <c r="K30" i="2"/>
  <c r="G27" i="2"/>
  <c r="H27" i="2"/>
  <c r="I27" i="2"/>
  <c r="J27" i="2"/>
  <c r="B628" i="13"/>
  <c r="B340" i="18"/>
  <c r="D281" i="18"/>
  <c r="G273" i="18"/>
  <c r="B273" i="18"/>
  <c r="B272" i="18"/>
  <c r="B271" i="18"/>
  <c r="G270" i="18"/>
  <c r="B260" i="18"/>
  <c r="B255" i="18"/>
  <c r="D195" i="18"/>
  <c r="G187" i="18"/>
  <c r="B187" i="18"/>
  <c r="B186" i="18"/>
  <c r="B185" i="18"/>
  <c r="G184" i="18"/>
  <c r="B174" i="18"/>
  <c r="B169" i="18"/>
  <c r="D114" i="18"/>
  <c r="D113" i="18"/>
  <c r="D112" i="18"/>
  <c r="D110" i="18"/>
  <c r="D109" i="18"/>
  <c r="G101" i="18"/>
  <c r="B101" i="18"/>
  <c r="B100" i="18"/>
  <c r="B99" i="18"/>
  <c r="G98" i="18"/>
  <c r="B88" i="18"/>
  <c r="B83" i="18"/>
  <c r="D84" i="18" s="1"/>
  <c r="D25" i="18"/>
  <c r="D24" i="18"/>
  <c r="G16" i="18"/>
  <c r="B16" i="18"/>
  <c r="B15" i="18"/>
  <c r="B14" i="18"/>
  <c r="G13" i="18"/>
  <c r="B3" i="18"/>
  <c r="E107" i="19"/>
  <c r="E106" i="19"/>
  <c r="H120" i="19" s="1"/>
  <c r="B101" i="19"/>
  <c r="B102" i="19" s="1"/>
  <c r="E81" i="19"/>
  <c r="H94" i="19" s="1"/>
  <c r="B76" i="19"/>
  <c r="B77" i="19" s="1"/>
  <c r="E57" i="19"/>
  <c r="E56" i="19"/>
  <c r="B51" i="19"/>
  <c r="E13" i="19"/>
  <c r="E12" i="19"/>
  <c r="E11" i="19"/>
  <c r="E10" i="19"/>
  <c r="CD39" i="19" s="1"/>
  <c r="CD36" i="19" s="1"/>
  <c r="M8" i="19"/>
  <c r="C44" i="19" s="1"/>
  <c r="M7" i="19"/>
  <c r="C43" i="19" s="1"/>
  <c r="M6" i="19"/>
  <c r="C42" i="19" s="1"/>
  <c r="M5" i="19"/>
  <c r="M4" i="19"/>
  <c r="A66" i="19" s="1"/>
  <c r="B4" i="19"/>
  <c r="M3" i="19"/>
  <c r="C39" i="19" s="1"/>
  <c r="P122" i="19"/>
  <c r="Q122" i="19" s="1"/>
  <c r="O122" i="19"/>
  <c r="K122" i="19"/>
  <c r="J122" i="19"/>
  <c r="G122" i="19"/>
  <c r="F122" i="19"/>
  <c r="B122" i="19"/>
  <c r="A122" i="19"/>
  <c r="P121" i="19"/>
  <c r="O121" i="19"/>
  <c r="K121" i="19"/>
  <c r="J121" i="19"/>
  <c r="H121" i="19"/>
  <c r="G121" i="19"/>
  <c r="F121" i="19"/>
  <c r="B121" i="19"/>
  <c r="A121" i="19"/>
  <c r="AT120" i="19"/>
  <c r="AS120" i="19"/>
  <c r="AS117" i="19" s="1"/>
  <c r="AR120" i="19"/>
  <c r="AR117" i="19" s="1"/>
  <c r="AO120" i="19"/>
  <c r="AO117" i="19" s="1"/>
  <c r="AN120" i="19"/>
  <c r="AN117" i="19" s="1"/>
  <c r="AM120" i="19"/>
  <c r="AM117" i="19" s="1"/>
  <c r="AI120" i="19"/>
  <c r="AI117" i="19" s="1"/>
  <c r="AH120" i="19"/>
  <c r="AG120" i="19"/>
  <c r="AG117" i="19" s="1"/>
  <c r="AC120" i="19"/>
  <c r="AB120" i="19"/>
  <c r="AB117" i="19" s="1"/>
  <c r="AA120" i="19"/>
  <c r="AA117" i="19" s="1"/>
  <c r="U120" i="19"/>
  <c r="U117" i="19" s="1"/>
  <c r="T120" i="19"/>
  <c r="T117" i="19" s="1"/>
  <c r="S120" i="19"/>
  <c r="S117" i="19" s="1"/>
  <c r="P120" i="19"/>
  <c r="O120" i="19"/>
  <c r="K120" i="19"/>
  <c r="J120" i="19"/>
  <c r="G120" i="19"/>
  <c r="F120" i="19"/>
  <c r="B120" i="19"/>
  <c r="A120" i="19"/>
  <c r="AT117" i="19"/>
  <c r="AH117" i="19"/>
  <c r="AC117" i="19"/>
  <c r="C117" i="19"/>
  <c r="E117" i="19" s="1"/>
  <c r="AR116" i="19"/>
  <c r="B111" i="19"/>
  <c r="E110" i="19"/>
  <c r="G95" i="19"/>
  <c r="G91" i="19" s="1"/>
  <c r="F95" i="19"/>
  <c r="B95" i="19"/>
  <c r="B91" i="19" s="1"/>
  <c r="A95" i="19"/>
  <c r="AT94" i="19"/>
  <c r="AT91" i="19" s="1"/>
  <c r="AS94" i="19"/>
  <c r="AS91" i="19" s="1"/>
  <c r="AR94" i="19"/>
  <c r="AR91" i="19" s="1"/>
  <c r="AO94" i="19"/>
  <c r="AO91" i="19" s="1"/>
  <c r="AN94" i="19"/>
  <c r="AM94" i="19"/>
  <c r="AM91" i="19" s="1"/>
  <c r="AI94" i="19"/>
  <c r="AH94" i="19"/>
  <c r="AH91" i="19" s="1"/>
  <c r="AG94" i="19"/>
  <c r="AG91" i="19" s="1"/>
  <c r="AC94" i="19"/>
  <c r="AB94" i="19"/>
  <c r="AB91" i="19" s="1"/>
  <c r="AA94" i="19"/>
  <c r="AA91" i="19" s="1"/>
  <c r="U94" i="19"/>
  <c r="U91" i="19" s="1"/>
  <c r="T94" i="19"/>
  <c r="T91" i="19" s="1"/>
  <c r="S94" i="19"/>
  <c r="S91" i="19" s="1"/>
  <c r="P94" i="19"/>
  <c r="P91" i="19" s="1"/>
  <c r="O94" i="19"/>
  <c r="K94" i="19"/>
  <c r="K91" i="19" s="1"/>
  <c r="J94" i="19"/>
  <c r="G94" i="19"/>
  <c r="F94" i="19"/>
  <c r="B94" i="19"/>
  <c r="A94" i="19"/>
  <c r="AN91" i="19"/>
  <c r="AI91" i="19"/>
  <c r="AC91" i="19"/>
  <c r="O91" i="19"/>
  <c r="N91" i="19"/>
  <c r="M91" i="19"/>
  <c r="L91" i="19"/>
  <c r="J91" i="19"/>
  <c r="F91" i="19"/>
  <c r="D91" i="19"/>
  <c r="C91" i="19"/>
  <c r="E91" i="19" s="1"/>
  <c r="A91" i="19"/>
  <c r="AR90" i="19"/>
  <c r="AM90" i="19"/>
  <c r="B87" i="19"/>
  <c r="B85" i="19"/>
  <c r="BN69" i="19"/>
  <c r="BN66" i="19" s="1"/>
  <c r="BM69" i="19"/>
  <c r="BL69" i="19"/>
  <c r="BD69" i="19"/>
  <c r="BD66" i="19" s="1"/>
  <c r="BC69" i="19"/>
  <c r="BB69" i="19"/>
  <c r="BB66" i="19" s="1"/>
  <c r="AY69" i="19"/>
  <c r="AY66" i="19" s="1"/>
  <c r="AX69" i="19"/>
  <c r="AX66" i="19" s="1"/>
  <c r="AW69" i="19"/>
  <c r="AT69" i="19"/>
  <c r="AT66" i="19" s="1"/>
  <c r="AS69" i="19"/>
  <c r="AR69" i="19"/>
  <c r="AO69" i="19"/>
  <c r="AO66" i="19" s="1"/>
  <c r="AN69" i="19"/>
  <c r="AM69" i="19"/>
  <c r="AJ69" i="19"/>
  <c r="AJ66" i="19" s="1"/>
  <c r="AH69" i="19"/>
  <c r="AG69" i="19"/>
  <c r="AG66" i="19" s="1"/>
  <c r="AD69" i="19"/>
  <c r="AD66" i="19" s="1"/>
  <c r="AB69" i="19"/>
  <c r="AB66" i="19" s="1"/>
  <c r="AA69" i="19"/>
  <c r="P69" i="19"/>
  <c r="P66" i="19" s="1"/>
  <c r="O69" i="19"/>
  <c r="K69" i="19"/>
  <c r="J69" i="19"/>
  <c r="J66" i="19" s="1"/>
  <c r="G69" i="19"/>
  <c r="F69" i="19"/>
  <c r="F66" i="19" s="1"/>
  <c r="B69" i="19"/>
  <c r="A69" i="19"/>
  <c r="BS66" i="19"/>
  <c r="BR66" i="19"/>
  <c r="BM66" i="19"/>
  <c r="BL66" i="19"/>
  <c r="BI66" i="19"/>
  <c r="BH66" i="19"/>
  <c r="BG66" i="19"/>
  <c r="BC66" i="19"/>
  <c r="AW66" i="19"/>
  <c r="AS66" i="19"/>
  <c r="AR66" i="19"/>
  <c r="AN66" i="19"/>
  <c r="AM66" i="19"/>
  <c r="AH66" i="19"/>
  <c r="AC66" i="19"/>
  <c r="AA66" i="19"/>
  <c r="O66" i="19"/>
  <c r="E53" i="19" s="1"/>
  <c r="N66" i="19"/>
  <c r="M66" i="19"/>
  <c r="L66" i="19"/>
  <c r="K66" i="19"/>
  <c r="G66" i="19"/>
  <c r="C66" i="19"/>
  <c r="B66" i="19"/>
  <c r="BQ65" i="19"/>
  <c r="BG65" i="19"/>
  <c r="BB65" i="19"/>
  <c r="B61" i="19"/>
  <c r="B60" i="19"/>
  <c r="E52" i="19"/>
  <c r="E51" i="19"/>
  <c r="B62" i="19"/>
  <c r="BN44" i="19"/>
  <c r="BM44" i="19"/>
  <c r="AJ44" i="19"/>
  <c r="AH44" i="19"/>
  <c r="AG44" i="19"/>
  <c r="P44" i="19"/>
  <c r="O44" i="19"/>
  <c r="E44" i="19"/>
  <c r="B44" i="19"/>
  <c r="CL43" i="19"/>
  <c r="CK43" i="19"/>
  <c r="CJ43" i="19"/>
  <c r="BN43" i="19"/>
  <c r="BM43" i="19"/>
  <c r="BL43" i="19"/>
  <c r="BL44" i="19" s="1"/>
  <c r="AK43" i="19"/>
  <c r="AJ43" i="19"/>
  <c r="AH43" i="19"/>
  <c r="AG43" i="19"/>
  <c r="P43" i="19"/>
  <c r="O43" i="19"/>
  <c r="A43" i="19"/>
  <c r="CL42" i="19"/>
  <c r="CK42" i="19"/>
  <c r="CJ42" i="19"/>
  <c r="BD42" i="19"/>
  <c r="BC42" i="19"/>
  <c r="BB42" i="19"/>
  <c r="AJ42" i="19"/>
  <c r="AH42" i="19"/>
  <c r="AG42" i="19"/>
  <c r="X42" i="19"/>
  <c r="P42" i="19"/>
  <c r="O42" i="19"/>
  <c r="G42" i="19"/>
  <c r="H42" i="19" s="1"/>
  <c r="F42" i="19"/>
  <c r="B42" i="19"/>
  <c r="A42" i="19"/>
  <c r="CL41" i="19"/>
  <c r="CK41" i="19"/>
  <c r="CJ41" i="19"/>
  <c r="BC41" i="19"/>
  <c r="AH41" i="19"/>
  <c r="CL40" i="19"/>
  <c r="CK40" i="19"/>
  <c r="CJ40" i="19"/>
  <c r="BN40" i="19"/>
  <c r="BM40" i="19"/>
  <c r="BL40" i="19"/>
  <c r="BD40" i="19"/>
  <c r="BD41" i="19" s="1"/>
  <c r="BC40" i="19"/>
  <c r="BB40" i="19"/>
  <c r="BB41" i="19" s="1"/>
  <c r="AH40" i="19"/>
  <c r="AG40" i="19"/>
  <c r="AG41" i="19" s="1"/>
  <c r="X40" i="19"/>
  <c r="P40" i="19"/>
  <c r="O40" i="19"/>
  <c r="G40" i="19"/>
  <c r="G44" i="19" s="1"/>
  <c r="F40" i="19"/>
  <c r="F44" i="19" s="1"/>
  <c r="B40" i="19"/>
  <c r="A40" i="19"/>
  <c r="A44" i="19" s="1"/>
  <c r="CL39" i="19"/>
  <c r="CK39" i="19"/>
  <c r="CJ39" i="19"/>
  <c r="CG39" i="19"/>
  <c r="CG36" i="19" s="1"/>
  <c r="BX39" i="19"/>
  <c r="BX36" i="19" s="1"/>
  <c r="BW39" i="19"/>
  <c r="BW36" i="19" s="1"/>
  <c r="BV39" i="19"/>
  <c r="BV36" i="19" s="1"/>
  <c r="BS39" i="19"/>
  <c r="BS36" i="19" s="1"/>
  <c r="BR39" i="19"/>
  <c r="BQ39" i="19"/>
  <c r="AT39" i="19"/>
  <c r="AT36" i="19" s="1"/>
  <c r="AS39" i="19"/>
  <c r="AS36" i="19" s="1"/>
  <c r="AR39" i="19"/>
  <c r="AO39" i="19"/>
  <c r="AP39" i="19" s="1"/>
  <c r="AP36" i="19" s="1"/>
  <c r="AN39" i="19"/>
  <c r="AM39" i="19"/>
  <c r="AJ39" i="19"/>
  <c r="AK39" i="19" s="1"/>
  <c r="AH39" i="19"/>
  <c r="AG39" i="19"/>
  <c r="AD39" i="19"/>
  <c r="AD36" i="19" s="1"/>
  <c r="AB39" i="19"/>
  <c r="AA39" i="19"/>
  <c r="X39" i="19"/>
  <c r="P39" i="19"/>
  <c r="O39" i="19"/>
  <c r="G39" i="19"/>
  <c r="F39" i="19"/>
  <c r="F43" i="19" s="1"/>
  <c r="B39" i="19"/>
  <c r="B43" i="19" s="1"/>
  <c r="A39" i="19"/>
  <c r="CH36" i="19"/>
  <c r="CC36" i="19"/>
  <c r="CB36" i="19"/>
  <c r="BR36" i="19"/>
  <c r="BQ36" i="19"/>
  <c r="BI36" i="19"/>
  <c r="BH36" i="19"/>
  <c r="AN36" i="19"/>
  <c r="AB36" i="19"/>
  <c r="AA36" i="19"/>
  <c r="C36" i="19"/>
  <c r="CJ35" i="19"/>
  <c r="CF35" i="19"/>
  <c r="CA35" i="19"/>
  <c r="BV35" i="19"/>
  <c r="BQ35" i="19"/>
  <c r="B15" i="19"/>
  <c r="E14" i="19"/>
  <c r="E60" i="19" s="1"/>
  <c r="E85" i="19" s="1"/>
  <c r="B14" i="19"/>
  <c r="B11" i="19"/>
  <c r="U2" i="19" s="1"/>
  <c r="B13" i="19"/>
  <c r="B12" i="19"/>
  <c r="J8" i="19"/>
  <c r="J7" i="19"/>
  <c r="J6" i="19"/>
  <c r="J5" i="19"/>
  <c r="J4" i="19"/>
  <c r="J3" i="19"/>
  <c r="G341" i="18"/>
  <c r="F325" i="18"/>
  <c r="O317" i="18"/>
  <c r="H317" i="18" s="1"/>
  <c r="E317" i="18"/>
  <c r="O316" i="18"/>
  <c r="H316" i="18" s="1"/>
  <c r="E316" i="18"/>
  <c r="O315" i="18"/>
  <c r="H315" i="18" s="1"/>
  <c r="E315" i="18"/>
  <c r="O314" i="18"/>
  <c r="B314" i="18" s="1"/>
  <c r="E314" i="18"/>
  <c r="O312" i="18"/>
  <c r="H312" i="18" s="1"/>
  <c r="E312" i="18"/>
  <c r="O311" i="18"/>
  <c r="H311" i="18" s="1"/>
  <c r="E311" i="18"/>
  <c r="O310" i="18"/>
  <c r="H310" i="18" s="1"/>
  <c r="E310" i="18"/>
  <c r="K308" i="18"/>
  <c r="K307" i="18"/>
  <c r="K306" i="18"/>
  <c r="L306" i="18" s="1"/>
  <c r="K305" i="18"/>
  <c r="K304" i="18"/>
  <c r="L304" i="18" s="1"/>
  <c r="K303" i="18"/>
  <c r="L303" i="18" s="1"/>
  <c r="K302" i="18"/>
  <c r="K301" i="18"/>
  <c r="L301" i="18" s="1"/>
  <c r="K300" i="18"/>
  <c r="D300" i="18"/>
  <c r="B300" i="18"/>
  <c r="L293" i="18"/>
  <c r="K293" i="18"/>
  <c r="C293" i="18"/>
  <c r="B293" i="18"/>
  <c r="G293" i="18" s="1"/>
  <c r="L292" i="18"/>
  <c r="K292" i="18"/>
  <c r="B292" i="18"/>
  <c r="G292" i="18" s="1"/>
  <c r="L290" i="18"/>
  <c r="G290" i="18"/>
  <c r="F290" i="18"/>
  <c r="D290" i="18"/>
  <c r="C290" i="18"/>
  <c r="B290" i="18"/>
  <c r="K290" i="18" s="1"/>
  <c r="K289" i="18"/>
  <c r="G289" i="18"/>
  <c r="F289" i="18"/>
  <c r="B289" i="18"/>
  <c r="D289" i="18" s="1"/>
  <c r="K288" i="18"/>
  <c r="D288" i="18"/>
  <c r="B288" i="18"/>
  <c r="K287" i="18"/>
  <c r="D287" i="18"/>
  <c r="B287" i="18"/>
  <c r="K286" i="18"/>
  <c r="D286" i="18"/>
  <c r="B286" i="18"/>
  <c r="B285" i="18"/>
  <c r="K285" i="18" s="1"/>
  <c r="D284" i="18"/>
  <c r="B284" i="18"/>
  <c r="K284" i="18" s="1"/>
  <c r="B283" i="18"/>
  <c r="K283" i="18" s="1"/>
  <c r="G272" i="18"/>
  <c r="G271" i="18"/>
  <c r="G256" i="18"/>
  <c r="F240" i="18"/>
  <c r="O232" i="18"/>
  <c r="H232" i="18" s="1"/>
  <c r="E232" i="18"/>
  <c r="O231" i="18"/>
  <c r="H231" i="18" s="1"/>
  <c r="E231" i="18"/>
  <c r="O230" i="18"/>
  <c r="H230" i="18" s="1"/>
  <c r="E230" i="18"/>
  <c r="O229" i="18"/>
  <c r="H229" i="18" s="1"/>
  <c r="E229" i="18"/>
  <c r="O227" i="18"/>
  <c r="B227" i="18" s="1"/>
  <c r="K227" i="18" s="1"/>
  <c r="E227" i="18"/>
  <c r="O226" i="18"/>
  <c r="H226" i="18" s="1"/>
  <c r="E226" i="18"/>
  <c r="O225" i="18"/>
  <c r="H225" i="18" s="1"/>
  <c r="E225" i="18"/>
  <c r="K221" i="18"/>
  <c r="L221" i="18" s="1"/>
  <c r="K219" i="18"/>
  <c r="L219" i="18" s="1"/>
  <c r="K216" i="18"/>
  <c r="L216" i="18" s="1"/>
  <c r="K215" i="18"/>
  <c r="D215" i="18"/>
  <c r="B215" i="18"/>
  <c r="C206" i="18"/>
  <c r="B206" i="18"/>
  <c r="G206" i="18" s="1"/>
  <c r="L205" i="18"/>
  <c r="G205" i="18"/>
  <c r="F205" i="18"/>
  <c r="C205" i="18"/>
  <c r="B205" i="18"/>
  <c r="D205" i="18" s="1"/>
  <c r="B204" i="18"/>
  <c r="K205" i="18" s="1"/>
  <c r="K203" i="18"/>
  <c r="G203" i="18"/>
  <c r="D203" i="18"/>
  <c r="C203" i="18"/>
  <c r="B203" i="18"/>
  <c r="F203" i="18" s="1"/>
  <c r="K202" i="18"/>
  <c r="L202" i="18" s="1"/>
  <c r="G202" i="18"/>
  <c r="K201" i="18"/>
  <c r="L201" i="18" s="1"/>
  <c r="G201" i="18"/>
  <c r="K200" i="18"/>
  <c r="L200" i="18" s="1"/>
  <c r="G200" i="18"/>
  <c r="K199" i="18"/>
  <c r="D199" i="18"/>
  <c r="B199" i="18"/>
  <c r="D198" i="18"/>
  <c r="B198" i="18"/>
  <c r="K198" i="18" s="1"/>
  <c r="K197" i="18"/>
  <c r="D197" i="18"/>
  <c r="B197" i="18"/>
  <c r="G186" i="18"/>
  <c r="G185" i="18"/>
  <c r="G170" i="18"/>
  <c r="F154" i="18"/>
  <c r="O146" i="18"/>
  <c r="B146" i="18" s="1"/>
  <c r="K146" i="18" s="1"/>
  <c r="L146" i="18" s="1"/>
  <c r="E146" i="18"/>
  <c r="O145" i="18"/>
  <c r="B145" i="18" s="1"/>
  <c r="F145" i="18" s="1"/>
  <c r="E145" i="18"/>
  <c r="O144" i="18"/>
  <c r="B144" i="18" s="1"/>
  <c r="F144" i="18" s="1"/>
  <c r="E144" i="18"/>
  <c r="O143" i="18"/>
  <c r="B143" i="18" s="1"/>
  <c r="K143" i="18" s="1"/>
  <c r="L143" i="18" s="1"/>
  <c r="E143" i="18"/>
  <c r="O141" i="18"/>
  <c r="B141" i="18" s="1"/>
  <c r="K141" i="18" s="1"/>
  <c r="L141" i="18" s="1"/>
  <c r="E141" i="18"/>
  <c r="O140" i="18"/>
  <c r="B140" i="18" s="1"/>
  <c r="E140" i="18"/>
  <c r="O139" i="18"/>
  <c r="B139" i="18" s="1"/>
  <c r="K139" i="18" s="1"/>
  <c r="L139" i="18" s="1"/>
  <c r="E139" i="18"/>
  <c r="D130" i="18"/>
  <c r="D129" i="18"/>
  <c r="F120" i="18"/>
  <c r="D120" i="18"/>
  <c r="B120" i="18"/>
  <c r="G120" i="18" s="1"/>
  <c r="G119" i="18"/>
  <c r="F119" i="18"/>
  <c r="D119" i="18"/>
  <c r="C119" i="18"/>
  <c r="B119" i="18"/>
  <c r="C120" i="18" s="1"/>
  <c r="D116" i="18"/>
  <c r="D115" i="18"/>
  <c r="D111" i="18"/>
  <c r="G100" i="18"/>
  <c r="G99" i="18"/>
  <c r="G84" i="18"/>
  <c r="F68" i="18"/>
  <c r="O60" i="18"/>
  <c r="H60" i="18" s="1"/>
  <c r="E60" i="18"/>
  <c r="O59" i="18"/>
  <c r="H59" i="18" s="1"/>
  <c r="E59" i="18"/>
  <c r="O58" i="18"/>
  <c r="H58" i="18" s="1"/>
  <c r="E58" i="18"/>
  <c r="O57" i="18"/>
  <c r="H57" i="18" s="1"/>
  <c r="E57" i="18"/>
  <c r="O55" i="18"/>
  <c r="H55" i="18" s="1"/>
  <c r="E55" i="18"/>
  <c r="O54" i="18"/>
  <c r="H54" i="18" s="1"/>
  <c r="E54" i="18"/>
  <c r="O53" i="18"/>
  <c r="H53" i="18" s="1"/>
  <c r="E53" i="18"/>
  <c r="K43" i="18"/>
  <c r="D43" i="18"/>
  <c r="B43" i="18"/>
  <c r="K42" i="18"/>
  <c r="D42" i="18"/>
  <c r="B42" i="18"/>
  <c r="B33" i="18"/>
  <c r="L34" i="18" s="1"/>
  <c r="D30" i="18"/>
  <c r="D28" i="18"/>
  <c r="B28" i="18"/>
  <c r="K28" i="18" s="1"/>
  <c r="C24" i="18"/>
  <c r="G15" i="18"/>
  <c r="G14" i="18"/>
  <c r="D37" i="17"/>
  <c r="D36" i="17"/>
  <c r="Q69" i="19" l="1"/>
  <c r="Q66" i="19" s="1"/>
  <c r="AJ40" i="19"/>
  <c r="AJ41" i="19" s="1"/>
  <c r="AK41" i="19" s="1"/>
  <c r="AO36" i="19"/>
  <c r="G43" i="19"/>
  <c r="B5" i="19"/>
  <c r="B53" i="19" s="1"/>
  <c r="B59" i="19" s="1"/>
  <c r="E104" i="19"/>
  <c r="B103" i="19" s="1"/>
  <c r="B109" i="19" s="1"/>
  <c r="C40" i="19"/>
  <c r="E43" i="19" s="1"/>
  <c r="H227" i="18"/>
  <c r="B310" i="18"/>
  <c r="G310" i="18" s="1"/>
  <c r="H314" i="18"/>
  <c r="K140" i="18"/>
  <c r="L140" i="18" s="1"/>
  <c r="F140" i="18"/>
  <c r="G140" i="18"/>
  <c r="H140" i="18"/>
  <c r="B229" i="18"/>
  <c r="G229" i="18" s="1"/>
  <c r="B53" i="18"/>
  <c r="F53" i="18" s="1"/>
  <c r="B230" i="18"/>
  <c r="K230" i="18" s="1"/>
  <c r="B311" i="18"/>
  <c r="B54" i="18"/>
  <c r="B231" i="18"/>
  <c r="F231" i="18" s="1"/>
  <c r="B312" i="18"/>
  <c r="G312" i="18" s="1"/>
  <c r="B55" i="18"/>
  <c r="F55" i="18" s="1"/>
  <c r="B232" i="18"/>
  <c r="K232" i="18" s="1"/>
  <c r="B57" i="18"/>
  <c r="F57" i="18" s="1"/>
  <c r="B315" i="18"/>
  <c r="F315" i="18" s="1"/>
  <c r="B58" i="18"/>
  <c r="F58" i="18" s="1"/>
  <c r="B225" i="18"/>
  <c r="K225" i="18" s="1"/>
  <c r="B316" i="18"/>
  <c r="B59" i="18"/>
  <c r="B226" i="18"/>
  <c r="K226" i="18" s="1"/>
  <c r="B317" i="18"/>
  <c r="G317" i="18" s="1"/>
  <c r="B60" i="18"/>
  <c r="F60" i="18" s="1"/>
  <c r="L203" i="18"/>
  <c r="H145" i="18"/>
  <c r="K145" i="18"/>
  <c r="L145" i="18" s="1"/>
  <c r="G145" i="18"/>
  <c r="H143" i="18"/>
  <c r="F143" i="18"/>
  <c r="G143" i="18"/>
  <c r="BE43" i="19"/>
  <c r="AD120" i="19"/>
  <c r="AD117" i="19" s="1"/>
  <c r="Y41" i="19"/>
  <c r="Q94" i="19"/>
  <c r="Q91" i="19" s="1"/>
  <c r="Q39" i="19"/>
  <c r="Y39" i="19"/>
  <c r="AP69" i="19"/>
  <c r="AP66" i="19" s="1"/>
  <c r="BO42" i="19"/>
  <c r="H44" i="19"/>
  <c r="F117" i="19"/>
  <c r="AU69" i="19"/>
  <c r="AU66" i="19" s="1"/>
  <c r="J117" i="19"/>
  <c r="Q117" i="19" s="1"/>
  <c r="G36" i="19"/>
  <c r="V7" i="19"/>
  <c r="Y11" i="19"/>
  <c r="X11" i="19"/>
  <c r="W11" i="19"/>
  <c r="V11" i="19"/>
  <c r="B52" i="19"/>
  <c r="E54" i="19" s="1"/>
  <c r="AP94" i="19"/>
  <c r="AP91" i="19" s="1"/>
  <c r="AJ120" i="19"/>
  <c r="AJ117" i="19" s="1"/>
  <c r="AK40" i="19"/>
  <c r="Q44" i="19"/>
  <c r="AE69" i="19"/>
  <c r="AE66" i="19" s="1"/>
  <c r="AZ69" i="19"/>
  <c r="AZ66" i="19" s="1"/>
  <c r="B36" i="19"/>
  <c r="BE39" i="19"/>
  <c r="Q42" i="19"/>
  <c r="Y44" i="19"/>
  <c r="Q121" i="19"/>
  <c r="AU39" i="19"/>
  <c r="AU36" i="19" s="1"/>
  <c r="BJ39" i="19"/>
  <c r="BJ36" i="19" s="1"/>
  <c r="A36" i="19"/>
  <c r="BQ66" i="19" s="1"/>
  <c r="D36" i="19"/>
  <c r="BO39" i="19"/>
  <c r="BE40" i="19"/>
  <c r="Y42" i="19"/>
  <c r="BO43" i="19"/>
  <c r="V94" i="19"/>
  <c r="V91" i="19" s="1"/>
  <c r="AU94" i="19"/>
  <c r="AU91" i="19" s="1"/>
  <c r="Q120" i="19"/>
  <c r="AP120" i="19"/>
  <c r="AP117" i="19" s="1"/>
  <c r="E36" i="19"/>
  <c r="AE39" i="19"/>
  <c r="AE36" i="19" s="1"/>
  <c r="BE41" i="19"/>
  <c r="AK69" i="19"/>
  <c r="AK66" i="19" s="1"/>
  <c r="BE69" i="19"/>
  <c r="BE66" i="19" s="1"/>
  <c r="P117" i="19"/>
  <c r="F36" i="19"/>
  <c r="B112" i="19"/>
  <c r="BO41" i="19"/>
  <c r="AK44" i="19"/>
  <c r="BJ69" i="19"/>
  <c r="BJ66" i="19" s="1"/>
  <c r="H40" i="19"/>
  <c r="H36" i="19" s="1"/>
  <c r="H43" i="19"/>
  <c r="BE44" i="19"/>
  <c r="H122" i="19"/>
  <c r="BT39" i="19"/>
  <c r="BT36" i="19" s="1"/>
  <c r="BO40" i="19"/>
  <c r="AK42" i="19"/>
  <c r="H69" i="19"/>
  <c r="H66" i="19" s="1"/>
  <c r="AD94" i="19"/>
  <c r="AD91" i="19" s="1"/>
  <c r="A117" i="19"/>
  <c r="V120" i="19"/>
  <c r="V117" i="19" s="1"/>
  <c r="AU120" i="19"/>
  <c r="AU117" i="19" s="1"/>
  <c r="H95" i="19"/>
  <c r="H91" i="19" s="1"/>
  <c r="Q40" i="19"/>
  <c r="BO69" i="19"/>
  <c r="BO66" i="19" s="1"/>
  <c r="D117" i="19"/>
  <c r="Q43" i="19"/>
  <c r="Y43" i="19"/>
  <c r="BO44" i="19"/>
  <c r="H39" i="19"/>
  <c r="BY39" i="19"/>
  <c r="BY36" i="19" s="1"/>
  <c r="Y40" i="19"/>
  <c r="H41" i="19"/>
  <c r="BE42" i="19"/>
  <c r="AJ94" i="19"/>
  <c r="AJ91" i="19" s="1"/>
  <c r="F141" i="18"/>
  <c r="F146" i="18"/>
  <c r="G139" i="18"/>
  <c r="G146" i="18"/>
  <c r="D206" i="18"/>
  <c r="D33" i="18"/>
  <c r="H139" i="18"/>
  <c r="H141" i="18"/>
  <c r="H144" i="18"/>
  <c r="H146" i="18"/>
  <c r="C204" i="18"/>
  <c r="F206" i="18"/>
  <c r="D293" i="18"/>
  <c r="F139" i="18"/>
  <c r="G141" i="18"/>
  <c r="G144" i="18"/>
  <c r="F33" i="18"/>
  <c r="K35" i="18"/>
  <c r="K144" i="18"/>
  <c r="L144" i="18" s="1"/>
  <c r="D204" i="18"/>
  <c r="F293" i="18"/>
  <c r="B256" i="18"/>
  <c r="D170" i="18"/>
  <c r="C33" i="18"/>
  <c r="F204" i="18"/>
  <c r="K206" i="18"/>
  <c r="K33" i="18"/>
  <c r="G204" i="18"/>
  <c r="L206" i="18"/>
  <c r="F227" i="18"/>
  <c r="D256" i="18"/>
  <c r="G33" i="18"/>
  <c r="L35" i="18"/>
  <c r="L33" i="18"/>
  <c r="K204" i="18"/>
  <c r="G227" i="18"/>
  <c r="L204" i="18"/>
  <c r="B170" i="18"/>
  <c r="C292" i="18"/>
  <c r="D292" i="18"/>
  <c r="B341" i="18"/>
  <c r="K34" i="18"/>
  <c r="C289" i="18"/>
  <c r="L289" i="18" s="1"/>
  <c r="F292" i="18"/>
  <c r="D341" i="18"/>
  <c r="B84" i="18"/>
  <c r="AJ44" i="5"/>
  <c r="AJ43" i="5"/>
  <c r="AJ42" i="5"/>
  <c r="AJ39" i="5"/>
  <c r="AH44" i="5"/>
  <c r="AH43" i="5"/>
  <c r="AH42" i="5"/>
  <c r="AH39" i="5"/>
  <c r="K303" i="8"/>
  <c r="L303" i="8" s="1"/>
  <c r="K305" i="8"/>
  <c r="K304" i="8"/>
  <c r="L304" i="8" s="1"/>
  <c r="K302" i="8"/>
  <c r="K301" i="8"/>
  <c r="L301" i="8" s="1"/>
  <c r="K216" i="8"/>
  <c r="L216" i="8" s="1"/>
  <c r="K219" i="8"/>
  <c r="L219" i="8" s="1"/>
  <c r="B6" i="19" l="1"/>
  <c r="E7" i="19" s="1"/>
  <c r="G7" i="19" s="1"/>
  <c r="B104" i="19"/>
  <c r="B54" i="19"/>
  <c r="B55" i="19"/>
  <c r="B56" i="19" s="1"/>
  <c r="B105" i="19"/>
  <c r="B106" i="19" s="1"/>
  <c r="G315" i="18"/>
  <c r="K229" i="18"/>
  <c r="K310" i="18"/>
  <c r="L310" i="18" s="1"/>
  <c r="F310" i="18"/>
  <c r="K312" i="18"/>
  <c r="L312" i="18" s="1"/>
  <c r="F232" i="18"/>
  <c r="F312" i="18"/>
  <c r="K315" i="18"/>
  <c r="L315" i="18" s="1"/>
  <c r="G60" i="18"/>
  <c r="K60" i="18"/>
  <c r="L60" i="18" s="1"/>
  <c r="K58" i="18"/>
  <c r="L230" i="18" s="1"/>
  <c r="G58" i="18"/>
  <c r="K53" i="18"/>
  <c r="L225" i="18" s="1"/>
  <c r="G53" i="18"/>
  <c r="G232" i="18"/>
  <c r="G230" i="18"/>
  <c r="F230" i="18"/>
  <c r="K55" i="18"/>
  <c r="L227" i="18" s="1"/>
  <c r="K317" i="18"/>
  <c r="L317" i="18" s="1"/>
  <c r="F317" i="18"/>
  <c r="F229" i="18"/>
  <c r="K231" i="18"/>
  <c r="G231" i="18"/>
  <c r="G57" i="18"/>
  <c r="K57" i="18"/>
  <c r="F225" i="18"/>
  <c r="K59" i="18"/>
  <c r="G59" i="18"/>
  <c r="F59" i="18"/>
  <c r="G54" i="18"/>
  <c r="K54" i="18"/>
  <c r="F54" i="18"/>
  <c r="G55" i="18"/>
  <c r="G225" i="18"/>
  <c r="F226" i="18"/>
  <c r="G226" i="18"/>
  <c r="N117" i="19"/>
  <c r="L117" i="19"/>
  <c r="O117" i="19"/>
  <c r="K117" i="19"/>
  <c r="X18" i="19"/>
  <c r="AB18" i="19" s="1"/>
  <c r="V12" i="19"/>
  <c r="V13" i="19" s="1"/>
  <c r="W18" i="19" s="1"/>
  <c r="Y19" i="19"/>
  <c r="AB19" i="19" s="1"/>
  <c r="W12" i="19"/>
  <c r="W13" i="19" s="1"/>
  <c r="W19" i="19" s="1"/>
  <c r="X12" i="19"/>
  <c r="X13" i="19" s="1"/>
  <c r="W20" i="19" s="1"/>
  <c r="Z20" i="19"/>
  <c r="AB20" i="19" s="1"/>
  <c r="Y12" i="19"/>
  <c r="Y13" i="19" s="1"/>
  <c r="W21" i="19" s="1"/>
  <c r="AA21" i="19"/>
  <c r="AB21" i="19" s="1"/>
  <c r="W6" i="19"/>
  <c r="W7" i="19" s="1"/>
  <c r="X17" i="19"/>
  <c r="B117" i="19"/>
  <c r="H117" i="19"/>
  <c r="G117" i="19"/>
  <c r="BB36" i="19"/>
  <c r="J36" i="19"/>
  <c r="AC36" i="19"/>
  <c r="BG36" i="19"/>
  <c r="AM36" i="19"/>
  <c r="AG36" i="19"/>
  <c r="AR36" i="19"/>
  <c r="CF36" i="19"/>
  <c r="BL36" i="19"/>
  <c r="S36" i="19"/>
  <c r="K311" i="18"/>
  <c r="L311" i="18" s="1"/>
  <c r="G311" i="18"/>
  <c r="F311" i="18"/>
  <c r="K316" i="18"/>
  <c r="L316" i="18" s="1"/>
  <c r="G316" i="18"/>
  <c r="F316" i="18"/>
  <c r="K314" i="18"/>
  <c r="L314" i="18" s="1"/>
  <c r="G314" i="18"/>
  <c r="F314" i="18"/>
  <c r="D300" i="8"/>
  <c r="AG44" i="5"/>
  <c r="AG43" i="5"/>
  <c r="AG42" i="5"/>
  <c r="AG40" i="5"/>
  <c r="AG39" i="5"/>
  <c r="E58" i="8"/>
  <c r="E59" i="8"/>
  <c r="E60" i="8"/>
  <c r="E57" i="8"/>
  <c r="E229" i="8"/>
  <c r="E230" i="8"/>
  <c r="E231" i="8"/>
  <c r="E232" i="8"/>
  <c r="F325" i="8"/>
  <c r="F240" i="8"/>
  <c r="F154" i="8"/>
  <c r="F68" i="8"/>
  <c r="BD69" i="5"/>
  <c r="BC69" i="5"/>
  <c r="BB69" i="5"/>
  <c r="X42" i="5"/>
  <c r="X40" i="5"/>
  <c r="X39" i="5"/>
  <c r="L232" i="18" l="1"/>
  <c r="B8" i="19"/>
  <c r="B9" i="19" s="1"/>
  <c r="B10" i="19"/>
  <c r="B7" i="19"/>
  <c r="L55" i="18"/>
  <c r="L58" i="18"/>
  <c r="L53" i="18"/>
  <c r="L54" i="18"/>
  <c r="L226" i="18"/>
  <c r="L59" i="18"/>
  <c r="L231" i="18"/>
  <c r="L57" i="18"/>
  <c r="L229" i="18"/>
  <c r="Y17" i="19"/>
  <c r="X6" i="19"/>
  <c r="X7" i="19" s="1"/>
  <c r="M36" i="19"/>
  <c r="L36" i="19"/>
  <c r="E4" i="19" s="1"/>
  <c r="K36" i="19"/>
  <c r="Q36" i="19"/>
  <c r="P36" i="19"/>
  <c r="N36" i="19"/>
  <c r="E5" i="19" s="1"/>
  <c r="O36" i="19"/>
  <c r="BO36" i="19"/>
  <c r="BN36" i="19"/>
  <c r="BM36" i="19"/>
  <c r="BE36" i="19"/>
  <c r="BD36" i="19"/>
  <c r="BC36" i="19"/>
  <c r="Y36" i="19"/>
  <c r="X36" i="19"/>
  <c r="W36" i="19"/>
  <c r="V36" i="19"/>
  <c r="G5" i="19" s="1"/>
  <c r="U36" i="19"/>
  <c r="T36" i="19"/>
  <c r="AJ36" i="19"/>
  <c r="AK36" i="19"/>
  <c r="AH36" i="19"/>
  <c r="G341" i="14"/>
  <c r="B340" i="14"/>
  <c r="O317" i="14"/>
  <c r="B317" i="14" s="1"/>
  <c r="H317" i="14"/>
  <c r="E317" i="14"/>
  <c r="O316" i="14"/>
  <c r="H316" i="14"/>
  <c r="E316" i="14"/>
  <c r="B316" i="14"/>
  <c r="K316" i="14" s="1"/>
  <c r="L316" i="14" s="1"/>
  <c r="O315" i="14"/>
  <c r="B315" i="14" s="1"/>
  <c r="H315" i="14"/>
  <c r="E315" i="14"/>
  <c r="O314" i="14"/>
  <c r="H314" i="14"/>
  <c r="E314" i="14"/>
  <c r="B314" i="14"/>
  <c r="K314" i="14" s="1"/>
  <c r="L314" i="14" s="1"/>
  <c r="O312" i="14"/>
  <c r="B312" i="14" s="1"/>
  <c r="H312" i="14"/>
  <c r="E312" i="14"/>
  <c r="O311" i="14"/>
  <c r="H311" i="14"/>
  <c r="E311" i="14"/>
  <c r="B311" i="14"/>
  <c r="K311" i="14" s="1"/>
  <c r="L311" i="14" s="1"/>
  <c r="O310" i="14"/>
  <c r="B310" i="14" s="1"/>
  <c r="H310" i="14"/>
  <c r="E310" i="14"/>
  <c r="B307" i="14"/>
  <c r="K307" i="14" s="1"/>
  <c r="K306" i="14"/>
  <c r="L306" i="14" s="1"/>
  <c r="K305" i="14"/>
  <c r="K304" i="14"/>
  <c r="K303" i="14"/>
  <c r="K302" i="14"/>
  <c r="K301" i="14"/>
  <c r="L301" i="14" s="1"/>
  <c r="B300" i="14"/>
  <c r="K300" i="14" s="1"/>
  <c r="C293" i="14"/>
  <c r="B293" i="14"/>
  <c r="G293" i="14" s="1"/>
  <c r="L292" i="14"/>
  <c r="G292" i="14"/>
  <c r="B292" i="14"/>
  <c r="F292" i="14" s="1"/>
  <c r="B290" i="14"/>
  <c r="K292" i="14" s="1"/>
  <c r="K289" i="14"/>
  <c r="G289" i="14"/>
  <c r="D289" i="14"/>
  <c r="C289" i="14"/>
  <c r="B289" i="14"/>
  <c r="F289" i="14" s="1"/>
  <c r="D288" i="14"/>
  <c r="B288" i="14"/>
  <c r="K288" i="14" s="1"/>
  <c r="K287" i="14"/>
  <c r="D287" i="14"/>
  <c r="B287" i="14"/>
  <c r="D286" i="14"/>
  <c r="B286" i="14"/>
  <c r="K286" i="14" s="1"/>
  <c r="B285" i="14"/>
  <c r="K285" i="14" s="1"/>
  <c r="K284" i="14"/>
  <c r="D284" i="14"/>
  <c r="B284" i="14"/>
  <c r="B283" i="14"/>
  <c r="K283" i="14" s="1"/>
  <c r="D281" i="14"/>
  <c r="G273" i="14"/>
  <c r="B273" i="14"/>
  <c r="G272" i="14"/>
  <c r="B272" i="14"/>
  <c r="G271" i="14"/>
  <c r="B271" i="14"/>
  <c r="G270" i="14"/>
  <c r="B260" i="14"/>
  <c r="G256" i="14"/>
  <c r="B255" i="14"/>
  <c r="O232" i="14"/>
  <c r="H232" i="14"/>
  <c r="E232" i="14"/>
  <c r="B232" i="14"/>
  <c r="K232" i="14" s="1"/>
  <c r="O231" i="14"/>
  <c r="B231" i="14" s="1"/>
  <c r="H231" i="14"/>
  <c r="E231" i="14"/>
  <c r="O230" i="14"/>
  <c r="H230" i="14"/>
  <c r="E230" i="14"/>
  <c r="B230" i="14"/>
  <c r="K230" i="14" s="1"/>
  <c r="O229" i="14"/>
  <c r="B229" i="14" s="1"/>
  <c r="H229" i="14"/>
  <c r="O227" i="14"/>
  <c r="H227" i="14" s="1"/>
  <c r="E227" i="14"/>
  <c r="B227" i="14"/>
  <c r="K227" i="14" s="1"/>
  <c r="O226" i="14"/>
  <c r="H226" i="14"/>
  <c r="E226" i="14"/>
  <c r="B226" i="14"/>
  <c r="K226" i="14" s="1"/>
  <c r="O225" i="14"/>
  <c r="H225" i="14" s="1"/>
  <c r="E225" i="14"/>
  <c r="B225" i="14"/>
  <c r="K225" i="14" s="1"/>
  <c r="B222" i="14"/>
  <c r="K222" i="14" s="1"/>
  <c r="K221" i="14"/>
  <c r="L221" i="14" s="1"/>
  <c r="K216" i="14"/>
  <c r="L216" i="14" s="1"/>
  <c r="D215" i="14"/>
  <c r="B215" i="14"/>
  <c r="K215" i="14" s="1"/>
  <c r="G206" i="14"/>
  <c r="F206" i="14"/>
  <c r="D206" i="14"/>
  <c r="B206" i="14"/>
  <c r="B205" i="14"/>
  <c r="C206" i="14" s="1"/>
  <c r="B204" i="14"/>
  <c r="L205" i="14" s="1"/>
  <c r="K203" i="14"/>
  <c r="C203" i="14"/>
  <c r="B203" i="14"/>
  <c r="G203" i="14" s="1"/>
  <c r="K202" i="14"/>
  <c r="L202" i="14" s="1"/>
  <c r="G202" i="14"/>
  <c r="K201" i="14"/>
  <c r="L201" i="14" s="1"/>
  <c r="G201" i="14"/>
  <c r="K200" i="14"/>
  <c r="L200" i="14" s="1"/>
  <c r="G200" i="14"/>
  <c r="K199" i="14"/>
  <c r="D199" i="14"/>
  <c r="B199" i="14"/>
  <c r="D198" i="14"/>
  <c r="B198" i="14"/>
  <c r="K198" i="14" s="1"/>
  <c r="K197" i="14"/>
  <c r="D197" i="14"/>
  <c r="B197" i="14"/>
  <c r="D195" i="14"/>
  <c r="G187" i="14"/>
  <c r="B187" i="14"/>
  <c r="G186" i="14"/>
  <c r="B186" i="14"/>
  <c r="G185" i="14"/>
  <c r="B185" i="14"/>
  <c r="G184" i="14"/>
  <c r="B174" i="14"/>
  <c r="G170" i="14"/>
  <c r="B169" i="14"/>
  <c r="O146" i="14"/>
  <c r="B146" i="14" s="1"/>
  <c r="E146" i="14"/>
  <c r="O145" i="14"/>
  <c r="E145" i="14"/>
  <c r="B145" i="14"/>
  <c r="K145" i="14" s="1"/>
  <c r="L145" i="14" s="1"/>
  <c r="O144" i="14"/>
  <c r="B144" i="14" s="1"/>
  <c r="E144" i="14"/>
  <c r="O143" i="14"/>
  <c r="E143" i="14"/>
  <c r="B143" i="14"/>
  <c r="K143" i="14" s="1"/>
  <c r="L143" i="14" s="1"/>
  <c r="O141" i="14"/>
  <c r="B141" i="14" s="1"/>
  <c r="E141" i="14"/>
  <c r="O140" i="14"/>
  <c r="E140" i="14"/>
  <c r="B140" i="14" s="1"/>
  <c r="O139" i="14"/>
  <c r="B139" i="14" s="1"/>
  <c r="E139" i="14"/>
  <c r="B136" i="14"/>
  <c r="K136" i="14" s="1"/>
  <c r="B135" i="14"/>
  <c r="K135" i="14" s="1"/>
  <c r="D130" i="14"/>
  <c r="G120" i="14"/>
  <c r="F120" i="14"/>
  <c r="B120" i="14"/>
  <c r="D120" i="14" s="1"/>
  <c r="C119" i="14"/>
  <c r="B119" i="14"/>
  <c r="C120" i="14" s="1"/>
  <c r="D116" i="14"/>
  <c r="D115" i="14"/>
  <c r="D114" i="14"/>
  <c r="D113" i="14"/>
  <c r="D112" i="14"/>
  <c r="D111" i="14"/>
  <c r="D110" i="14"/>
  <c r="D109" i="14"/>
  <c r="G101" i="14"/>
  <c r="B101" i="14"/>
  <c r="G100" i="14"/>
  <c r="B100" i="14"/>
  <c r="G99" i="14"/>
  <c r="B99" i="14"/>
  <c r="G98" i="14"/>
  <c r="B88" i="14"/>
  <c r="G84" i="14"/>
  <c r="B83" i="14"/>
  <c r="D341" i="14" s="1"/>
  <c r="O60" i="14"/>
  <c r="B60" i="14" s="1"/>
  <c r="H60" i="14"/>
  <c r="E60" i="14"/>
  <c r="O59" i="14"/>
  <c r="H59" i="14"/>
  <c r="E59" i="14"/>
  <c r="B59" i="14"/>
  <c r="K59" i="14" s="1"/>
  <c r="O58" i="14"/>
  <c r="B58" i="14" s="1"/>
  <c r="H58" i="14"/>
  <c r="E58" i="14"/>
  <c r="O57" i="14"/>
  <c r="H57" i="14"/>
  <c r="E57" i="14"/>
  <c r="B57" i="14"/>
  <c r="K57" i="14" s="1"/>
  <c r="O55" i="14"/>
  <c r="B55" i="14" s="1"/>
  <c r="H55" i="14"/>
  <c r="E55" i="14"/>
  <c r="O54" i="14"/>
  <c r="H54" i="14"/>
  <c r="E54" i="14"/>
  <c r="B54" i="14"/>
  <c r="K54" i="14" s="1"/>
  <c r="P53" i="14"/>
  <c r="O53" i="14"/>
  <c r="B53" i="14" s="1"/>
  <c r="H53" i="14"/>
  <c r="E53" i="14"/>
  <c r="B48" i="14"/>
  <c r="F48" i="14" s="1"/>
  <c r="D43" i="14"/>
  <c r="B43" i="14"/>
  <c r="K43" i="14" s="1"/>
  <c r="D42" i="14"/>
  <c r="B42" i="14"/>
  <c r="K42" i="14" s="1"/>
  <c r="B33" i="14"/>
  <c r="L35" i="14" s="1"/>
  <c r="D30" i="14"/>
  <c r="D28" i="14"/>
  <c r="B28" i="14"/>
  <c r="D25" i="14"/>
  <c r="D24" i="14"/>
  <c r="C24" i="14"/>
  <c r="G16" i="14"/>
  <c r="B16" i="14"/>
  <c r="G15" i="14"/>
  <c r="B15" i="14"/>
  <c r="G14" i="14"/>
  <c r="B14" i="14"/>
  <c r="G13" i="14"/>
  <c r="B3" i="14"/>
  <c r="AD39" i="5"/>
  <c r="AB39" i="5"/>
  <c r="AA39" i="5"/>
  <c r="BL66" i="5"/>
  <c r="BG66" i="5"/>
  <c r="B130" i="18" s="1"/>
  <c r="K130" i="18" s="1"/>
  <c r="BB66" i="5"/>
  <c r="B129" i="18" s="1"/>
  <c r="K129" i="18" s="1"/>
  <c r="AW66" i="5"/>
  <c r="AR66" i="5"/>
  <c r="B112" i="18" s="1"/>
  <c r="AM66" i="5"/>
  <c r="B115" i="18" s="1"/>
  <c r="AG66" i="5"/>
  <c r="B114" i="18" s="1"/>
  <c r="AA66" i="5"/>
  <c r="B113" i="18" s="1"/>
  <c r="J66" i="5"/>
  <c r="B111" i="18" s="1"/>
  <c r="B66" i="5"/>
  <c r="D116" i="8"/>
  <c r="D115" i="8"/>
  <c r="D114" i="8"/>
  <c r="D113" i="8"/>
  <c r="D112" i="8"/>
  <c r="D111" i="8"/>
  <c r="D256" i="14" l="1"/>
  <c r="B84" i="14"/>
  <c r="L203" i="14"/>
  <c r="B170" i="14"/>
  <c r="D170" i="14"/>
  <c r="D84" i="14"/>
  <c r="K114" i="18"/>
  <c r="K111" i="18"/>
  <c r="K115" i="18"/>
  <c r="K112" i="18"/>
  <c r="K113" i="18"/>
  <c r="G4" i="19"/>
  <c r="CA36" i="19"/>
  <c r="E66" i="19"/>
  <c r="D66" i="19"/>
  <c r="Y6" i="19"/>
  <c r="Y7" i="19" s="1"/>
  <c r="AA17" i="19" s="1"/>
  <c r="Z17" i="19"/>
  <c r="F316" i="14"/>
  <c r="F143" i="14"/>
  <c r="F311" i="14"/>
  <c r="F232" i="14"/>
  <c r="F226" i="14"/>
  <c r="F54" i="14"/>
  <c r="F314" i="14"/>
  <c r="F145" i="14"/>
  <c r="H143" i="14"/>
  <c r="G226" i="14"/>
  <c r="F59" i="14"/>
  <c r="F230" i="14"/>
  <c r="F57" i="14"/>
  <c r="H145" i="14"/>
  <c r="L289" i="14"/>
  <c r="B129" i="14"/>
  <c r="K129" i="14" s="1"/>
  <c r="B130" i="14"/>
  <c r="K130" i="14" s="1"/>
  <c r="B112" i="14"/>
  <c r="K112" i="14" s="1"/>
  <c r="B114" i="14"/>
  <c r="K114" i="14" s="1"/>
  <c r="B113" i="14"/>
  <c r="B115" i="14"/>
  <c r="K115" i="14" s="1"/>
  <c r="B111" i="14"/>
  <c r="C48" i="14"/>
  <c r="K33" i="14"/>
  <c r="L33" i="14"/>
  <c r="F33" i="14"/>
  <c r="K34" i="14"/>
  <c r="D48" i="14"/>
  <c r="C33" i="14"/>
  <c r="L34" i="14"/>
  <c r="K35" i="14"/>
  <c r="G48" i="14"/>
  <c r="K140" i="14"/>
  <c r="L140" i="14" s="1"/>
  <c r="H140" i="14"/>
  <c r="H146" i="14"/>
  <c r="G146" i="14"/>
  <c r="K146" i="14"/>
  <c r="L146" i="14" s="1"/>
  <c r="F146" i="14"/>
  <c r="H141" i="14"/>
  <c r="F141" i="14"/>
  <c r="G141" i="14"/>
  <c r="K141" i="14"/>
  <c r="L141" i="14" s="1"/>
  <c r="F310" i="14"/>
  <c r="G310" i="14"/>
  <c r="K310" i="14"/>
  <c r="L310" i="14" s="1"/>
  <c r="F315" i="14"/>
  <c r="G315" i="14"/>
  <c r="K315" i="14"/>
  <c r="L315" i="14" s="1"/>
  <c r="L59" i="14"/>
  <c r="L231" i="14"/>
  <c r="F229" i="14"/>
  <c r="G229" i="14"/>
  <c r="K229" i="14"/>
  <c r="G139" i="14"/>
  <c r="H139" i="14"/>
  <c r="F139" i="14"/>
  <c r="K139" i="14"/>
  <c r="L139" i="14" s="1"/>
  <c r="G58" i="14"/>
  <c r="F58" i="14"/>
  <c r="K58" i="14"/>
  <c r="L222" i="14"/>
  <c r="F60" i="14"/>
  <c r="G60" i="14"/>
  <c r="K60" i="14"/>
  <c r="F317" i="14"/>
  <c r="G317" i="14"/>
  <c r="K317" i="14"/>
  <c r="L317" i="14" s="1"/>
  <c r="G144" i="14"/>
  <c r="H144" i="14"/>
  <c r="F144" i="14"/>
  <c r="K144" i="14"/>
  <c r="L144" i="14" s="1"/>
  <c r="F53" i="14"/>
  <c r="G53" i="14"/>
  <c r="K53" i="14"/>
  <c r="F312" i="14"/>
  <c r="G312" i="14"/>
  <c r="K312" i="14"/>
  <c r="L312" i="14" s="1"/>
  <c r="L307" i="14"/>
  <c r="L54" i="14"/>
  <c r="L226" i="14"/>
  <c r="F55" i="14"/>
  <c r="G55" i="14"/>
  <c r="K55" i="14"/>
  <c r="L57" i="14"/>
  <c r="L229" i="14"/>
  <c r="F231" i="14"/>
  <c r="G231" i="14"/>
  <c r="K231" i="14"/>
  <c r="F135" i="14"/>
  <c r="F204" i="14"/>
  <c r="K206" i="14"/>
  <c r="F222" i="14"/>
  <c r="D222" i="14"/>
  <c r="G135" i="14"/>
  <c r="G204" i="14"/>
  <c r="L206" i="14"/>
  <c r="G222" i="14"/>
  <c r="D293" i="14"/>
  <c r="C290" i="14"/>
  <c r="F293" i="14"/>
  <c r="C135" i="14"/>
  <c r="L135" i="14" s="1"/>
  <c r="C204" i="14"/>
  <c r="D119" i="14"/>
  <c r="L204" i="14"/>
  <c r="B256" i="14"/>
  <c r="D290" i="14"/>
  <c r="D135" i="14"/>
  <c r="F290" i="14"/>
  <c r="K293" i="14"/>
  <c r="D204" i="14"/>
  <c r="C136" i="14"/>
  <c r="L136" i="14" s="1"/>
  <c r="C205" i="14"/>
  <c r="G290" i="14"/>
  <c r="L293" i="14"/>
  <c r="C307" i="14"/>
  <c r="C222" i="14"/>
  <c r="G54" i="14"/>
  <c r="G57" i="14"/>
  <c r="G59" i="14"/>
  <c r="D136" i="14"/>
  <c r="G143" i="14"/>
  <c r="G145" i="14"/>
  <c r="D205" i="14"/>
  <c r="F227" i="14"/>
  <c r="G230" i="14"/>
  <c r="G232" i="14"/>
  <c r="K290" i="14"/>
  <c r="D307" i="14"/>
  <c r="G311" i="14"/>
  <c r="G314" i="14"/>
  <c r="G316" i="14"/>
  <c r="K204" i="14"/>
  <c r="G119" i="14"/>
  <c r="F136" i="14"/>
  <c r="F205" i="14"/>
  <c r="G227" i="14"/>
  <c r="L290" i="14"/>
  <c r="F307" i="14"/>
  <c r="K28" i="14"/>
  <c r="D33" i="14"/>
  <c r="G136" i="14"/>
  <c r="D203" i="14"/>
  <c r="G205" i="14"/>
  <c r="G307" i="14"/>
  <c r="F119" i="14"/>
  <c r="F203" i="14"/>
  <c r="K205" i="14"/>
  <c r="C292" i="14"/>
  <c r="G33" i="14"/>
  <c r="D292" i="14"/>
  <c r="B341" i="14"/>
  <c r="BV36" i="5"/>
  <c r="BQ36" i="5"/>
  <c r="M7" i="5"/>
  <c r="M8" i="5"/>
  <c r="M6" i="5"/>
  <c r="M5" i="5"/>
  <c r="M4" i="5"/>
  <c r="A66" i="5" s="1"/>
  <c r="B116" i="18" s="1"/>
  <c r="M3" i="5"/>
  <c r="K116" i="18" l="1"/>
  <c r="V9" i="19"/>
  <c r="U12" i="19" s="1"/>
  <c r="U13" i="19" s="1"/>
  <c r="AB17" i="19"/>
  <c r="K113" i="14"/>
  <c r="K111" i="14"/>
  <c r="B116" i="14"/>
  <c r="L232" i="14"/>
  <c r="L60" i="14"/>
  <c r="L225" i="14"/>
  <c r="L53" i="14"/>
  <c r="L230" i="14"/>
  <c r="L58" i="14"/>
  <c r="L227" i="14"/>
  <c r="L55" i="14"/>
  <c r="E315" i="8"/>
  <c r="E316" i="8"/>
  <c r="E317" i="8"/>
  <c r="E314" i="8"/>
  <c r="E311" i="8"/>
  <c r="E312" i="8"/>
  <c r="E310" i="8"/>
  <c r="E226" i="8"/>
  <c r="E227" i="8"/>
  <c r="E225" i="8"/>
  <c r="E144" i="8"/>
  <c r="E145" i="8"/>
  <c r="E146" i="8"/>
  <c r="E143" i="8"/>
  <c r="E139" i="8"/>
  <c r="E140" i="8"/>
  <c r="E141" i="8"/>
  <c r="E54" i="8"/>
  <c r="E55" i="8"/>
  <c r="E53" i="8"/>
  <c r="D199" i="8"/>
  <c r="B199" i="8"/>
  <c r="W15" i="19" l="1"/>
  <c r="W17" i="19"/>
  <c r="K116" i="14"/>
  <c r="CC36" i="5"/>
  <c r="CB36" i="5"/>
  <c r="CA35" i="5"/>
  <c r="BL43" i="5"/>
  <c r="BL44" i="5" s="1"/>
  <c r="BM43" i="5"/>
  <c r="BM44" i="5" s="1"/>
  <c r="BN40" i="5"/>
  <c r="BM40" i="5"/>
  <c r="BL40" i="5"/>
  <c r="BD42" i="5"/>
  <c r="BC42" i="5"/>
  <c r="BB42" i="5"/>
  <c r="BB40" i="5"/>
  <c r="BB41" i="5" s="1"/>
  <c r="BD40" i="5"/>
  <c r="BD41" i="5" s="1"/>
  <c r="BC40" i="5"/>
  <c r="BC41" i="5" s="1"/>
  <c r="O42" i="5"/>
  <c r="P42" i="5"/>
  <c r="O43" i="5"/>
  <c r="P43" i="5"/>
  <c r="O44" i="5"/>
  <c r="P44" i="5"/>
  <c r="AC17" i="19" l="1"/>
  <c r="AC18" i="19"/>
  <c r="AC21" i="19"/>
  <c r="AC19" i="19"/>
  <c r="AC20" i="19"/>
  <c r="AD20" i="19" s="1"/>
  <c r="U20" i="19" s="1"/>
  <c r="BN43" i="5"/>
  <c r="AD21" i="19" l="1"/>
  <c r="U21" i="19" s="1"/>
  <c r="AD17" i="19"/>
  <c r="U17" i="19" s="1"/>
  <c r="AD19" i="19"/>
  <c r="U19" i="19" s="1"/>
  <c r="AD18" i="19"/>
  <c r="U18" i="19" s="1"/>
  <c r="X27" i="19"/>
  <c r="W27" i="19"/>
  <c r="V27" i="19"/>
  <c r="BN44" i="5"/>
  <c r="Y27" i="19" l="1"/>
  <c r="Y28" i="19"/>
  <c r="Y24" i="19"/>
  <c r="X24" i="19"/>
  <c r="X28" i="19"/>
  <c r="W28" i="19"/>
  <c r="W24" i="19"/>
  <c r="V31" i="19"/>
  <c r="V32" i="19" s="1"/>
  <c r="V28" i="19"/>
  <c r="V30" i="19" s="1"/>
  <c r="CJ36" i="19" s="1"/>
  <c r="V24" i="19"/>
  <c r="C91" i="5"/>
  <c r="D91" i="5" s="1"/>
  <c r="B91" i="5"/>
  <c r="D197" i="8" s="1"/>
  <c r="A91" i="5"/>
  <c r="B197" i="8" s="1"/>
  <c r="G95" i="5"/>
  <c r="G91" i="5" s="1"/>
  <c r="F95" i="5"/>
  <c r="F91" i="5" s="1"/>
  <c r="B94" i="5"/>
  <c r="B95" i="5"/>
  <c r="A95" i="5"/>
  <c r="G42" i="5"/>
  <c r="G40" i="5"/>
  <c r="G39" i="5"/>
  <c r="F42" i="5"/>
  <c r="F40" i="5"/>
  <c r="F39" i="5"/>
  <c r="B39" i="5"/>
  <c r="B40" i="5"/>
  <c r="B42" i="5"/>
  <c r="A42" i="5"/>
  <c r="A40" i="5"/>
  <c r="A39" i="5"/>
  <c r="O40" i="5"/>
  <c r="AT120" i="5"/>
  <c r="AS120" i="5"/>
  <c r="AR120" i="5"/>
  <c r="AO120" i="5"/>
  <c r="AN120" i="5"/>
  <c r="AM120" i="5"/>
  <c r="AI120" i="5"/>
  <c r="AH120" i="5"/>
  <c r="AG120" i="5"/>
  <c r="AC120" i="5"/>
  <c r="AB120" i="5"/>
  <c r="AA120" i="5"/>
  <c r="U120" i="5"/>
  <c r="T120" i="5"/>
  <c r="S120" i="5"/>
  <c r="P121" i="5"/>
  <c r="P122" i="5"/>
  <c r="P120" i="5"/>
  <c r="O121" i="5"/>
  <c r="O122" i="5"/>
  <c r="O120" i="5"/>
  <c r="K121" i="5"/>
  <c r="K122" i="5"/>
  <c r="K120" i="5"/>
  <c r="J121" i="5"/>
  <c r="J122" i="5"/>
  <c r="J120" i="5"/>
  <c r="G121" i="5"/>
  <c r="G122" i="5"/>
  <c r="G120" i="5"/>
  <c r="F121" i="5"/>
  <c r="F122" i="5"/>
  <c r="F120" i="5"/>
  <c r="B121" i="5"/>
  <c r="B122" i="5"/>
  <c r="B120" i="5"/>
  <c r="A121" i="5"/>
  <c r="A122" i="5"/>
  <c r="A120" i="5"/>
  <c r="CG39" i="5"/>
  <c r="CL36" i="19" l="1"/>
  <c r="CK36" i="19"/>
  <c r="E91" i="5"/>
  <c r="AT39" i="5"/>
  <c r="AS39" i="5"/>
  <c r="AR39" i="5"/>
  <c r="AO39" i="5"/>
  <c r="AN39" i="5"/>
  <c r="AM39" i="5"/>
  <c r="BS39" i="5"/>
  <c r="BX39" i="5"/>
  <c r="BW39" i="5"/>
  <c r="BV39" i="5"/>
  <c r="BR39" i="5"/>
  <c r="BQ39" i="5"/>
  <c r="AT94" i="5"/>
  <c r="AS94" i="5"/>
  <c r="AR94" i="5"/>
  <c r="AO94" i="5"/>
  <c r="AN94" i="5"/>
  <c r="AM94" i="5"/>
  <c r="AI94" i="5"/>
  <c r="AH94" i="5"/>
  <c r="AG94" i="5"/>
  <c r="AC94" i="5"/>
  <c r="AB94" i="5"/>
  <c r="AA94" i="5"/>
  <c r="U94" i="5"/>
  <c r="T94" i="5"/>
  <c r="S94" i="5"/>
  <c r="P94" i="5"/>
  <c r="O94" i="5"/>
  <c r="K94" i="5"/>
  <c r="J94" i="5"/>
  <c r="BN69" i="5"/>
  <c r="BM69" i="5"/>
  <c r="BL69" i="5"/>
  <c r="BN66" i="5"/>
  <c r="BM66" i="5"/>
  <c r="L66" i="5"/>
  <c r="M66" i="5"/>
  <c r="N66" i="5"/>
  <c r="J69" i="5"/>
  <c r="K69" i="5"/>
  <c r="K66" i="5" s="1"/>
  <c r="O69" i="5"/>
  <c r="O66" i="5" s="1"/>
  <c r="P69" i="5"/>
  <c r="P66" i="5" s="1"/>
  <c r="O315" i="8"/>
  <c r="B315" i="8" s="1"/>
  <c r="O316" i="8"/>
  <c r="B316" i="8" s="1"/>
  <c r="O317" i="8"/>
  <c r="B317" i="8" s="1"/>
  <c r="O314" i="8"/>
  <c r="B314" i="8" s="1"/>
  <c r="O311" i="8"/>
  <c r="B311" i="8" s="1"/>
  <c r="O312" i="8"/>
  <c r="B312" i="8" s="1"/>
  <c r="O310" i="8"/>
  <c r="B310" i="8" s="1"/>
  <c r="O229" i="8"/>
  <c r="O230" i="8"/>
  <c r="O231" i="8"/>
  <c r="O232" i="8"/>
  <c r="O226" i="8"/>
  <c r="O227" i="8"/>
  <c r="O225" i="8"/>
  <c r="O144" i="8"/>
  <c r="B144" i="8" s="1"/>
  <c r="H144" i="8" s="1"/>
  <c r="O145" i="8"/>
  <c r="B145" i="8" s="1"/>
  <c r="H145" i="8" s="1"/>
  <c r="O146" i="8"/>
  <c r="B146" i="8" s="1"/>
  <c r="H146" i="8" s="1"/>
  <c r="O143" i="8"/>
  <c r="O140" i="8"/>
  <c r="B140" i="8" s="1"/>
  <c r="H140" i="8" s="1"/>
  <c r="F140" i="8" s="1"/>
  <c r="G140" i="8" s="1"/>
  <c r="O141" i="8"/>
  <c r="B141" i="8" s="1"/>
  <c r="O139" i="8"/>
  <c r="B139" i="8" s="1"/>
  <c r="O58" i="8"/>
  <c r="B58" i="8" s="1"/>
  <c r="O59" i="8"/>
  <c r="B59" i="8" s="1"/>
  <c r="O60" i="8"/>
  <c r="B60" i="8" s="1"/>
  <c r="O57" i="8"/>
  <c r="B57" i="8" s="1"/>
  <c r="O54" i="8"/>
  <c r="O55" i="8"/>
  <c r="O53" i="8"/>
  <c r="B53" i="8" s="1"/>
  <c r="B118" i="18" l="1"/>
  <c r="B118" i="14"/>
  <c r="H55" i="8"/>
  <c r="B55" i="8"/>
  <c r="H57" i="8"/>
  <c r="H53" i="8"/>
  <c r="H54" i="8"/>
  <c r="B54" i="8"/>
  <c r="H60" i="8"/>
  <c r="H59" i="8"/>
  <c r="H58" i="8"/>
  <c r="H316" i="8"/>
  <c r="B227" i="8"/>
  <c r="H227" i="8"/>
  <c r="H230" i="8"/>
  <c r="B230" i="8"/>
  <c r="H315" i="8"/>
  <c r="H225" i="8"/>
  <c r="B225" i="8"/>
  <c r="H232" i="8"/>
  <c r="B232" i="8"/>
  <c r="H229" i="8"/>
  <c r="B229" i="8"/>
  <c r="H226" i="8"/>
  <c r="B226" i="8"/>
  <c r="H231" i="8"/>
  <c r="B231" i="8"/>
  <c r="H310" i="8"/>
  <c r="H141" i="8"/>
  <c r="F141" i="8" s="1"/>
  <c r="G141" i="8" s="1"/>
  <c r="H314" i="8"/>
  <c r="H317" i="8"/>
  <c r="H312" i="8"/>
  <c r="F312" i="8" s="1"/>
  <c r="H311" i="8"/>
  <c r="F311" i="8" s="1"/>
  <c r="B143" i="8"/>
  <c r="H139" i="8"/>
  <c r="F139" i="8" s="1"/>
  <c r="G139" i="8" s="1"/>
  <c r="K119" i="14" l="1"/>
  <c r="L118" i="14"/>
  <c r="L119" i="14"/>
  <c r="K120" i="14"/>
  <c r="K118" i="14"/>
  <c r="C118" i="14"/>
  <c r="G118" i="14"/>
  <c r="F118" i="14"/>
  <c r="D118" i="14"/>
  <c r="L120" i="14"/>
  <c r="D118" i="18"/>
  <c r="F118" i="18"/>
  <c r="K118" i="18"/>
  <c r="L120" i="18"/>
  <c r="C118" i="18"/>
  <c r="L118" i="18"/>
  <c r="K119" i="18"/>
  <c r="K120" i="18"/>
  <c r="L119" i="18"/>
  <c r="G118" i="18"/>
  <c r="F316" i="8"/>
  <c r="F314" i="8"/>
  <c r="F55" i="8"/>
  <c r="F317" i="8"/>
  <c r="F54" i="8"/>
  <c r="F57" i="8"/>
  <c r="F315" i="8"/>
  <c r="F310" i="8"/>
  <c r="G310" i="8" s="1"/>
  <c r="F53" i="8"/>
  <c r="G53" i="8" s="1"/>
  <c r="H143" i="8"/>
  <c r="F143" i="8" s="1"/>
  <c r="G143" i="8" s="1"/>
  <c r="B26" i="10"/>
  <c r="B25" i="10"/>
  <c r="B24" i="10"/>
  <c r="Q23" i="10"/>
  <c r="O23" i="10"/>
  <c r="M23" i="10"/>
  <c r="J23" i="10"/>
  <c r="H23" i="10"/>
  <c r="F23" i="10"/>
  <c r="B23" i="10"/>
  <c r="B22" i="10"/>
  <c r="I21" i="10"/>
  <c r="H21" i="10"/>
  <c r="G21" i="10"/>
  <c r="F21" i="10"/>
  <c r="E21" i="10"/>
  <c r="B21" i="10"/>
  <c r="I20" i="10"/>
  <c r="H20" i="10"/>
  <c r="G20" i="10"/>
  <c r="F20" i="10"/>
  <c r="E20" i="10"/>
  <c r="B20" i="10"/>
  <c r="P19" i="10"/>
  <c r="O19" i="10"/>
  <c r="N19" i="10"/>
  <c r="M19" i="10"/>
  <c r="L19" i="10"/>
  <c r="I19" i="10"/>
  <c r="H19" i="10"/>
  <c r="G19" i="10"/>
  <c r="F19" i="10"/>
  <c r="E19" i="10"/>
  <c r="B19" i="10"/>
  <c r="P18" i="10"/>
  <c r="O18" i="10"/>
  <c r="N18" i="10"/>
  <c r="M18" i="10"/>
  <c r="L18" i="10"/>
  <c r="I18" i="10"/>
  <c r="H18" i="10"/>
  <c r="G18" i="10"/>
  <c r="F18" i="10"/>
  <c r="E18" i="10"/>
  <c r="B18" i="10"/>
  <c r="P17" i="10"/>
  <c r="O17" i="10"/>
  <c r="N17" i="10"/>
  <c r="M17" i="10"/>
  <c r="L17" i="10"/>
  <c r="I17" i="10"/>
  <c r="H17" i="10"/>
  <c r="G17" i="10"/>
  <c r="F17" i="10"/>
  <c r="E17" i="10"/>
  <c r="B17" i="10"/>
  <c r="D16" i="10"/>
  <c r="P15" i="10"/>
  <c r="N15" i="10"/>
  <c r="L15" i="10"/>
  <c r="I15" i="10"/>
  <c r="G15" i="10"/>
  <c r="E15" i="10"/>
  <c r="D15" i="10"/>
  <c r="L14" i="10"/>
  <c r="E14" i="10"/>
  <c r="F58" i="8" l="1"/>
  <c r="G58" i="8" s="1"/>
  <c r="K143" i="8"/>
  <c r="L143" i="8" s="1"/>
  <c r="K144" i="8"/>
  <c r="L144" i="8" s="1"/>
  <c r="F146" i="8"/>
  <c r="G146" i="8" s="1"/>
  <c r="K317" i="8"/>
  <c r="L317" i="8" s="1"/>
  <c r="K145" i="8"/>
  <c r="L145" i="8" s="1"/>
  <c r="K232" i="8"/>
  <c r="K230" i="8"/>
  <c r="K231" i="8"/>
  <c r="K57" i="8"/>
  <c r="L229" i="8" s="1"/>
  <c r="K227" i="8"/>
  <c r="K225" i="8"/>
  <c r="K226" i="8"/>
  <c r="K229" i="8"/>
  <c r="F144" i="8"/>
  <c r="G144" i="8" s="1"/>
  <c r="F59" i="8" l="1"/>
  <c r="G59" i="8" s="1"/>
  <c r="F60" i="8"/>
  <c r="G60" i="8" s="1"/>
  <c r="G54" i="8"/>
  <c r="G55" i="8"/>
  <c r="K55" i="8"/>
  <c r="L227" i="8" s="1"/>
  <c r="K54" i="8"/>
  <c r="L54" i="8" s="1"/>
  <c r="K60" i="8"/>
  <c r="L232" i="8" s="1"/>
  <c r="K59" i="8"/>
  <c r="L231" i="8" s="1"/>
  <c r="G317" i="8"/>
  <c r="K316" i="8"/>
  <c r="L316" i="8" s="1"/>
  <c r="G316" i="8"/>
  <c r="G314" i="8"/>
  <c r="K146" i="8"/>
  <c r="L146" i="8" s="1"/>
  <c r="K141" i="8"/>
  <c r="L141" i="8" s="1"/>
  <c r="K140" i="8"/>
  <c r="L140" i="8" s="1"/>
  <c r="K139" i="8"/>
  <c r="L139" i="8" s="1"/>
  <c r="L57" i="8"/>
  <c r="F145" i="8"/>
  <c r="G145" i="8" s="1"/>
  <c r="K310" i="8"/>
  <c r="L310" i="8" s="1"/>
  <c r="K314" i="8"/>
  <c r="L314" i="8" s="1"/>
  <c r="G311" i="8"/>
  <c r="K311" i="8"/>
  <c r="L311" i="8" s="1"/>
  <c r="G57" i="8"/>
  <c r="G315" i="8"/>
  <c r="K315" i="8"/>
  <c r="L315" i="8" s="1"/>
  <c r="K312" i="8"/>
  <c r="L312" i="8" s="1"/>
  <c r="G312" i="8"/>
  <c r="K58" i="8"/>
  <c r="B340" i="8"/>
  <c r="B255" i="8"/>
  <c r="B169" i="8"/>
  <c r="AS117" i="5"/>
  <c r="AR117" i="5"/>
  <c r="AR116" i="5"/>
  <c r="B83" i="8"/>
  <c r="D170" i="8" s="1"/>
  <c r="G341" i="8"/>
  <c r="G256" i="8"/>
  <c r="G170" i="8"/>
  <c r="G84" i="8"/>
  <c r="L55" i="8" l="1"/>
  <c r="L60" i="8"/>
  <c r="L226" i="8"/>
  <c r="L59" i="8"/>
  <c r="B300" i="8"/>
  <c r="L230" i="8"/>
  <c r="L58" i="8"/>
  <c r="B84" i="8"/>
  <c r="D84" i="8"/>
  <c r="B341" i="8"/>
  <c r="B256" i="8"/>
  <c r="D256" i="8"/>
  <c r="D341" i="8"/>
  <c r="B170" i="8"/>
  <c r="AT117" i="5"/>
  <c r="K306" i="8"/>
  <c r="L306" i="8" s="1"/>
  <c r="K307" i="8"/>
  <c r="K308" i="8"/>
  <c r="D281" i="8"/>
  <c r="G273" i="8"/>
  <c r="G272" i="8"/>
  <c r="G271" i="8"/>
  <c r="G270" i="8"/>
  <c r="B273" i="8"/>
  <c r="B272" i="8"/>
  <c r="B271" i="8"/>
  <c r="B260" i="8"/>
  <c r="B293" i="8"/>
  <c r="G293" i="8" s="1"/>
  <c r="B292" i="8"/>
  <c r="G292" i="8" s="1"/>
  <c r="B290" i="8"/>
  <c r="L292" i="8" s="1"/>
  <c r="B289" i="8"/>
  <c r="G289" i="8" s="1"/>
  <c r="AO117" i="5"/>
  <c r="AN117" i="5"/>
  <c r="AM117" i="5"/>
  <c r="AI117" i="5"/>
  <c r="AH117" i="5"/>
  <c r="AG117" i="5"/>
  <c r="AB117" i="5"/>
  <c r="AA117" i="5"/>
  <c r="AC117" i="5"/>
  <c r="U117" i="5"/>
  <c r="T117" i="5"/>
  <c r="S117" i="5"/>
  <c r="E107" i="5"/>
  <c r="C117" i="5" s="1"/>
  <c r="E106" i="5"/>
  <c r="F327" i="18" s="1"/>
  <c r="E110" i="5"/>
  <c r="B101" i="5"/>
  <c r="AT91" i="5"/>
  <c r="AS91" i="5"/>
  <c r="AR91" i="5"/>
  <c r="AO91" i="5"/>
  <c r="AN91" i="5"/>
  <c r="AM91" i="5"/>
  <c r="AR90" i="5"/>
  <c r="AM90" i="5"/>
  <c r="K199" i="8"/>
  <c r="K200" i="8"/>
  <c r="L200" i="8" s="1"/>
  <c r="K201" i="8"/>
  <c r="K202" i="8"/>
  <c r="L202" i="8" s="1"/>
  <c r="D195" i="8"/>
  <c r="G187" i="8"/>
  <c r="G186" i="8"/>
  <c r="G185" i="8"/>
  <c r="G184" i="8"/>
  <c r="B187" i="8"/>
  <c r="B186" i="8"/>
  <c r="B185" i="8"/>
  <c r="B174" i="8"/>
  <c r="K221" i="8"/>
  <c r="L221" i="8" s="1"/>
  <c r="B206" i="8"/>
  <c r="F206" i="8" s="1"/>
  <c r="B205" i="8"/>
  <c r="D205" i="8" s="1"/>
  <c r="B204" i="8"/>
  <c r="L204" i="8" s="1"/>
  <c r="B203" i="8"/>
  <c r="D203" i="8" s="1"/>
  <c r="G201" i="8"/>
  <c r="G200" i="8"/>
  <c r="B76" i="5"/>
  <c r="AI91" i="5"/>
  <c r="AH91" i="5"/>
  <c r="AG91" i="5"/>
  <c r="AC91" i="5"/>
  <c r="AB91" i="5"/>
  <c r="AA91" i="5"/>
  <c r="T91" i="5"/>
  <c r="S91" i="5"/>
  <c r="U91" i="5"/>
  <c r="O91" i="5"/>
  <c r="D198" i="8"/>
  <c r="N91" i="5"/>
  <c r="M91" i="5"/>
  <c r="L91" i="5"/>
  <c r="E81" i="5"/>
  <c r="F242" i="18" s="1"/>
  <c r="G94" i="5"/>
  <c r="F94" i="5"/>
  <c r="A94" i="5"/>
  <c r="B88" i="8"/>
  <c r="BS66" i="5"/>
  <c r="BR66" i="5"/>
  <c r="BQ65" i="5"/>
  <c r="AH69" i="5"/>
  <c r="D110" i="8"/>
  <c r="D109" i="8"/>
  <c r="D25" i="8"/>
  <c r="D24" i="8"/>
  <c r="G101" i="8"/>
  <c r="G100" i="8"/>
  <c r="G99" i="8"/>
  <c r="G98" i="8"/>
  <c r="B101" i="8"/>
  <c r="B100" i="8"/>
  <c r="B99" i="8"/>
  <c r="B120" i="8"/>
  <c r="G120" i="8" s="1"/>
  <c r="B119" i="8"/>
  <c r="D119" i="8" s="1"/>
  <c r="CL40" i="5"/>
  <c r="CL41" i="5"/>
  <c r="CL42" i="5"/>
  <c r="CL43" i="5"/>
  <c r="CK40" i="5"/>
  <c r="CK41" i="5"/>
  <c r="CK42" i="5"/>
  <c r="CK43" i="5"/>
  <c r="CJ40" i="5"/>
  <c r="CJ41" i="5"/>
  <c r="CJ42" i="5"/>
  <c r="CJ43" i="5"/>
  <c r="BH66" i="5"/>
  <c r="BC66" i="5"/>
  <c r="BG65" i="5"/>
  <c r="BB65" i="5"/>
  <c r="AX69" i="5"/>
  <c r="AX66" i="5" s="1"/>
  <c r="AW69" i="5"/>
  <c r="AS69" i="5"/>
  <c r="AS66" i="5" s="1"/>
  <c r="AR69" i="5"/>
  <c r="AN69" i="5"/>
  <c r="AN66" i="5" s="1"/>
  <c r="AM69" i="5"/>
  <c r="AG69" i="5"/>
  <c r="AC66" i="5"/>
  <c r="AB69" i="5"/>
  <c r="AB66" i="5" s="1"/>
  <c r="AA69" i="5"/>
  <c r="E52" i="5"/>
  <c r="E51" i="5"/>
  <c r="E53" i="5"/>
  <c r="C66" i="5"/>
  <c r="E57" i="5"/>
  <c r="E56" i="5"/>
  <c r="F156" i="18" s="1"/>
  <c r="F69" i="5"/>
  <c r="F66" i="5" s="1"/>
  <c r="B69" i="5"/>
  <c r="A69" i="5"/>
  <c r="B51" i="5"/>
  <c r="E14" i="5"/>
  <c r="E12" i="5"/>
  <c r="B62" i="5" l="1"/>
  <c r="C116" i="18" s="1"/>
  <c r="C109" i="18"/>
  <c r="B87" i="5"/>
  <c r="C195" i="18"/>
  <c r="B112" i="5"/>
  <c r="C281" i="18"/>
  <c r="D129" i="14"/>
  <c r="Q69" i="5"/>
  <c r="Q66" i="5" s="1"/>
  <c r="F111" i="18" s="1"/>
  <c r="F156" i="14"/>
  <c r="H95" i="5"/>
  <c r="H91" i="5" s="1"/>
  <c r="F197" i="18" s="1"/>
  <c r="F242" i="14"/>
  <c r="F327" i="14"/>
  <c r="B50" i="14"/>
  <c r="C109" i="14"/>
  <c r="B102" i="5"/>
  <c r="E104" i="5" s="1"/>
  <c r="B103" i="5" s="1"/>
  <c r="C283" i="18" s="1"/>
  <c r="C281" i="14"/>
  <c r="C195" i="14"/>
  <c r="E60" i="5"/>
  <c r="E85" i="5" s="1"/>
  <c r="B286" i="8"/>
  <c r="K286" i="8" s="1"/>
  <c r="D286" i="8"/>
  <c r="B288" i="8"/>
  <c r="K288" i="8" s="1"/>
  <c r="D288" i="8"/>
  <c r="B287" i="8"/>
  <c r="K287" i="8" s="1"/>
  <c r="B284" i="8"/>
  <c r="K284" i="8" s="1"/>
  <c r="D287" i="8"/>
  <c r="D284" i="8"/>
  <c r="D129" i="8"/>
  <c r="B129" i="8"/>
  <c r="K129" i="8" s="1"/>
  <c r="B130" i="8"/>
  <c r="K130" i="8" s="1"/>
  <c r="B215" i="8"/>
  <c r="K215" i="8" s="1"/>
  <c r="D215" i="8"/>
  <c r="D130" i="8"/>
  <c r="B111" i="8"/>
  <c r="B113" i="8"/>
  <c r="B114" i="8"/>
  <c r="B115" i="8"/>
  <c r="B112" i="8"/>
  <c r="J91" i="5"/>
  <c r="K197" i="8"/>
  <c r="K91" i="5"/>
  <c r="P91" i="5"/>
  <c r="F327" i="8"/>
  <c r="F242" i="8"/>
  <c r="F156" i="8"/>
  <c r="C281" i="8"/>
  <c r="B111" i="5"/>
  <c r="C300" i="18" s="1"/>
  <c r="K290" i="8"/>
  <c r="K289" i="8"/>
  <c r="K300" i="8"/>
  <c r="C293" i="8"/>
  <c r="C292" i="8"/>
  <c r="F289" i="8"/>
  <c r="A117" i="5"/>
  <c r="C290" i="8"/>
  <c r="D293" i="8"/>
  <c r="F293" i="8"/>
  <c r="D290" i="8"/>
  <c r="F290" i="8"/>
  <c r="K293" i="8"/>
  <c r="G290" i="8"/>
  <c r="L293" i="8"/>
  <c r="L290" i="8"/>
  <c r="D292" i="8"/>
  <c r="C289" i="8"/>
  <c r="F292" i="8"/>
  <c r="D289" i="8"/>
  <c r="K292" i="8"/>
  <c r="J117" i="5"/>
  <c r="E117" i="5"/>
  <c r="D117" i="5"/>
  <c r="F117" i="5"/>
  <c r="B198" i="8"/>
  <c r="K198" i="8" s="1"/>
  <c r="K203" i="8"/>
  <c r="L205" i="8"/>
  <c r="F205" i="8"/>
  <c r="G205" i="8"/>
  <c r="C206" i="8"/>
  <c r="C205" i="8"/>
  <c r="C195" i="8"/>
  <c r="B77" i="5"/>
  <c r="B85" i="5"/>
  <c r="C203" i="8"/>
  <c r="F203" i="8"/>
  <c r="K205" i="8"/>
  <c r="D206" i="8"/>
  <c r="G203" i="8"/>
  <c r="L201" i="8"/>
  <c r="C204" i="8"/>
  <c r="G206" i="8"/>
  <c r="F204" i="8"/>
  <c r="K206" i="8"/>
  <c r="G204" i="8"/>
  <c r="L206" i="8"/>
  <c r="D204" i="8"/>
  <c r="K204" i="8"/>
  <c r="G202" i="8"/>
  <c r="B118" i="8"/>
  <c r="L118" i="8" s="1"/>
  <c r="C109" i="8"/>
  <c r="B60" i="5"/>
  <c r="C129" i="18" s="1"/>
  <c r="B61" i="5"/>
  <c r="C130" i="18" s="1"/>
  <c r="G119" i="8"/>
  <c r="F119" i="8"/>
  <c r="C120" i="8"/>
  <c r="C119" i="8"/>
  <c r="F120" i="8"/>
  <c r="D120" i="8"/>
  <c r="CL39" i="5"/>
  <c r="CK39" i="5"/>
  <c r="CJ39" i="5"/>
  <c r="CG36" i="5"/>
  <c r="CH36" i="5"/>
  <c r="CJ35" i="5"/>
  <c r="CF35" i="5"/>
  <c r="L283" i="18" l="1"/>
  <c r="L129" i="18"/>
  <c r="L300" i="18"/>
  <c r="C285" i="8"/>
  <c r="C285" i="18"/>
  <c r="L130" i="18"/>
  <c r="C197" i="8"/>
  <c r="C199" i="8" s="1"/>
  <c r="L199" i="8" s="1"/>
  <c r="C197" i="18"/>
  <c r="L116" i="18"/>
  <c r="F197" i="8"/>
  <c r="F197" i="14"/>
  <c r="F111" i="14"/>
  <c r="G50" i="14"/>
  <c r="F50" i="14"/>
  <c r="C50" i="14"/>
  <c r="D50" i="14"/>
  <c r="C197" i="14"/>
  <c r="C300" i="8"/>
  <c r="L300" i="8" s="1"/>
  <c r="C300" i="14"/>
  <c r="C130" i="14"/>
  <c r="C129" i="8"/>
  <c r="L129" i="8" s="1"/>
  <c r="C129" i="14"/>
  <c r="K112" i="8"/>
  <c r="K111" i="8"/>
  <c r="F111" i="8"/>
  <c r="K115" i="8"/>
  <c r="K114" i="8"/>
  <c r="K113" i="8"/>
  <c r="B285" i="8"/>
  <c r="K285" i="8" s="1"/>
  <c r="B116" i="8"/>
  <c r="C116" i="8" s="1"/>
  <c r="C130" i="8"/>
  <c r="L130" i="8" s="1"/>
  <c r="L289" i="8"/>
  <c r="G117" i="5"/>
  <c r="B117" i="5"/>
  <c r="D285" i="18" s="1"/>
  <c r="P117" i="5"/>
  <c r="B283" i="8"/>
  <c r="O117" i="5"/>
  <c r="N117" i="5"/>
  <c r="L117" i="5"/>
  <c r="K117" i="5"/>
  <c r="D283" i="18" s="1"/>
  <c r="K120" i="8"/>
  <c r="L203" i="8"/>
  <c r="D118" i="8"/>
  <c r="F118" i="8"/>
  <c r="L119" i="8"/>
  <c r="G118" i="8"/>
  <c r="K118" i="8"/>
  <c r="C118" i="8"/>
  <c r="L120" i="8"/>
  <c r="K119" i="8"/>
  <c r="L285" i="18" l="1"/>
  <c r="C198" i="18"/>
  <c r="C199" i="18"/>
  <c r="G197" i="18"/>
  <c r="L197" i="18"/>
  <c r="C198" i="8"/>
  <c r="L198" i="8" s="1"/>
  <c r="D283" i="8"/>
  <c r="D283" i="14"/>
  <c r="D285" i="14"/>
  <c r="L129" i="14"/>
  <c r="L130" i="14"/>
  <c r="C198" i="14"/>
  <c r="G197" i="14"/>
  <c r="C199" i="14"/>
  <c r="L197" i="14"/>
  <c r="B109" i="5"/>
  <c r="C283" i="14"/>
  <c r="L300" i="14"/>
  <c r="K116" i="8"/>
  <c r="L197" i="8"/>
  <c r="D285" i="8"/>
  <c r="B104" i="5"/>
  <c r="C284" i="18" s="1"/>
  <c r="B105" i="5"/>
  <c r="C286" i="18" s="1"/>
  <c r="C283" i="8"/>
  <c r="K283" i="8"/>
  <c r="L286" i="18" l="1"/>
  <c r="L199" i="18"/>
  <c r="L198" i="18"/>
  <c r="L284" i="18"/>
  <c r="L283" i="14"/>
  <c r="L199" i="14"/>
  <c r="C284" i="8"/>
  <c r="L285" i="8" s="1"/>
  <c r="C284" i="14"/>
  <c r="L198" i="14"/>
  <c r="C286" i="8"/>
  <c r="L286" i="8" s="1"/>
  <c r="C286" i="14"/>
  <c r="L283" i="8"/>
  <c r="B106" i="5"/>
  <c r="C287" i="18" s="1"/>
  <c r="C288" i="18" l="1"/>
  <c r="L287" i="18"/>
  <c r="C287" i="14"/>
  <c r="L284" i="8"/>
  <c r="C285" i="14"/>
  <c r="L284" i="14"/>
  <c r="L286" i="14"/>
  <c r="C287" i="8"/>
  <c r="B33" i="8"/>
  <c r="D33" i="8" s="1"/>
  <c r="BW36" i="5"/>
  <c r="D43" i="8" s="1"/>
  <c r="BR36" i="5"/>
  <c r="BV35" i="5"/>
  <c r="BQ35" i="5"/>
  <c r="E13" i="5"/>
  <c r="B117" i="18" s="1"/>
  <c r="D117" i="18" s="1"/>
  <c r="BH36" i="5"/>
  <c r="C24" i="8"/>
  <c r="G16" i="8"/>
  <c r="B16" i="8"/>
  <c r="G15" i="8"/>
  <c r="B15" i="8"/>
  <c r="G14" i="8"/>
  <c r="B14" i="8"/>
  <c r="G13" i="8"/>
  <c r="B3" i="8"/>
  <c r="AS36" i="5"/>
  <c r="AN36" i="5"/>
  <c r="AH40" i="5"/>
  <c r="AH41" i="5" s="1"/>
  <c r="AG41" i="5"/>
  <c r="AB36" i="5"/>
  <c r="AA36" i="5"/>
  <c r="O39" i="5"/>
  <c r="C40" i="5"/>
  <c r="E43" i="5" s="1"/>
  <c r="C42" i="5"/>
  <c r="C43" i="5"/>
  <c r="C44" i="5"/>
  <c r="E11" i="5"/>
  <c r="J8" i="5"/>
  <c r="J7" i="5"/>
  <c r="J6" i="5"/>
  <c r="J5" i="5"/>
  <c r="J4" i="5"/>
  <c r="J3" i="5"/>
  <c r="E10" i="5"/>
  <c r="F70" i="18" s="1"/>
  <c r="F44" i="5"/>
  <c r="E44" i="5"/>
  <c r="B44" i="5"/>
  <c r="A44" i="5"/>
  <c r="B4" i="5"/>
  <c r="K117" i="18" l="1"/>
  <c r="L288" i="18"/>
  <c r="L318" i="18" s="1"/>
  <c r="C318" i="18" s="1"/>
  <c r="D37" i="18"/>
  <c r="D37" i="8"/>
  <c r="B15" i="5"/>
  <c r="B5" i="5"/>
  <c r="F225" i="14"/>
  <c r="G225" i="14" s="1"/>
  <c r="F140" i="14"/>
  <c r="G140" i="14" s="1"/>
  <c r="F229" i="8"/>
  <c r="G229" i="8" s="1"/>
  <c r="F231" i="8"/>
  <c r="G231" i="8" s="1"/>
  <c r="F230" i="8"/>
  <c r="G230" i="8" s="1"/>
  <c r="F225" i="8"/>
  <c r="G225" i="8" s="1"/>
  <c r="F232" i="8"/>
  <c r="G232" i="8" s="1"/>
  <c r="F226" i="8"/>
  <c r="G226" i="8" s="1"/>
  <c r="F227" i="8"/>
  <c r="G227" i="8" s="1"/>
  <c r="Y41" i="5"/>
  <c r="Y42" i="5"/>
  <c r="Y40" i="5"/>
  <c r="F70" i="14"/>
  <c r="L285" i="14"/>
  <c r="C288" i="14"/>
  <c r="L287" i="14"/>
  <c r="B117" i="8"/>
  <c r="K117" i="8" s="1"/>
  <c r="B117" i="14"/>
  <c r="B52" i="5"/>
  <c r="BJ69" i="5"/>
  <c r="CD39" i="5"/>
  <c r="CD36" i="5" s="1"/>
  <c r="Q44" i="5"/>
  <c r="Q43" i="5"/>
  <c r="BE44" i="5"/>
  <c r="BO41" i="5"/>
  <c r="BO42" i="5"/>
  <c r="BO40" i="5"/>
  <c r="Q42" i="5"/>
  <c r="BO43" i="5"/>
  <c r="BO44" i="5"/>
  <c r="BO39" i="5"/>
  <c r="BO69" i="5"/>
  <c r="BO66" i="5" s="1"/>
  <c r="F117" i="18" s="1"/>
  <c r="D42" i="8"/>
  <c r="D28" i="8"/>
  <c r="D30" i="8"/>
  <c r="B28" i="8"/>
  <c r="K28" i="8" s="1"/>
  <c r="C288" i="8"/>
  <c r="L288" i="8" s="1"/>
  <c r="L287" i="8"/>
  <c r="C36" i="5"/>
  <c r="F70" i="8"/>
  <c r="AU120" i="5"/>
  <c r="AU117" i="5" s="1"/>
  <c r="F300" i="18" s="1"/>
  <c r="G300" i="18" s="1"/>
  <c r="Q120" i="5"/>
  <c r="H121" i="5"/>
  <c r="H120" i="5"/>
  <c r="H122" i="5"/>
  <c r="H117" i="5" s="1"/>
  <c r="F285" i="18" s="1"/>
  <c r="G285" i="18" s="1"/>
  <c r="Q121" i="5"/>
  <c r="Q122" i="5"/>
  <c r="Q117" i="5" s="1"/>
  <c r="F283" i="18" s="1"/>
  <c r="G283" i="18" s="1"/>
  <c r="V120" i="5"/>
  <c r="V117" i="5" s="1"/>
  <c r="F284" i="18" s="1"/>
  <c r="G284" i="18" s="1"/>
  <c r="AP120" i="5"/>
  <c r="AP117" i="5" s="1"/>
  <c r="F288" i="18" s="1"/>
  <c r="G288" i="18" s="1"/>
  <c r="AJ120" i="5"/>
  <c r="AJ117" i="5" s="1"/>
  <c r="F287" i="18" s="1"/>
  <c r="G287" i="18" s="1"/>
  <c r="AD120" i="5"/>
  <c r="AD117" i="5" s="1"/>
  <c r="F286" i="18" s="1"/>
  <c r="G286" i="18" s="1"/>
  <c r="AU94" i="5"/>
  <c r="AU91" i="5" s="1"/>
  <c r="AP94" i="5"/>
  <c r="AP91" i="5" s="1"/>
  <c r="F215" i="18" s="1"/>
  <c r="AJ94" i="5"/>
  <c r="AJ91" i="5" s="1"/>
  <c r="AD94" i="5"/>
  <c r="AD91" i="5" s="1"/>
  <c r="V94" i="5"/>
  <c r="F199" i="18" s="1"/>
  <c r="G199" i="18" s="1"/>
  <c r="Q94" i="5"/>
  <c r="Q91" i="5" s="1"/>
  <c r="F198" i="18" s="1"/>
  <c r="G198" i="18" s="1"/>
  <c r="H94" i="5"/>
  <c r="B11" i="5"/>
  <c r="U2" i="5" s="1"/>
  <c r="H41" i="5"/>
  <c r="Y44" i="5"/>
  <c r="Y43" i="5"/>
  <c r="K33" i="8"/>
  <c r="F33" i="8"/>
  <c r="K35" i="8"/>
  <c r="B14" i="5"/>
  <c r="C43" i="18" s="1"/>
  <c r="B13" i="5"/>
  <c r="B43" i="5"/>
  <c r="A43" i="5"/>
  <c r="F43" i="5"/>
  <c r="G319" i="18" l="1"/>
  <c r="G323" i="18" s="1"/>
  <c r="G325" i="18" s="1"/>
  <c r="G327" i="18" s="1"/>
  <c r="L43" i="18"/>
  <c r="C31" i="8"/>
  <c r="C31" i="18"/>
  <c r="C42" i="18"/>
  <c r="C215" i="18"/>
  <c r="F284" i="14"/>
  <c r="G284" i="14" s="1"/>
  <c r="F283" i="14"/>
  <c r="G283" i="14" s="1"/>
  <c r="F300" i="14"/>
  <c r="G300" i="14" s="1"/>
  <c r="F198" i="14"/>
  <c r="G198" i="14" s="1"/>
  <c r="V91" i="5"/>
  <c r="F199" i="14"/>
  <c r="G199" i="14" s="1"/>
  <c r="F199" i="8"/>
  <c r="G199" i="8" s="1"/>
  <c r="F215" i="14"/>
  <c r="F286" i="14"/>
  <c r="G286" i="14" s="1"/>
  <c r="F285" i="14"/>
  <c r="G285" i="14" s="1"/>
  <c r="F287" i="14"/>
  <c r="G287" i="14" s="1"/>
  <c r="F288" i="14"/>
  <c r="G288" i="14" s="1"/>
  <c r="L116" i="8"/>
  <c r="C116" i="14"/>
  <c r="F117" i="8"/>
  <c r="D117" i="8"/>
  <c r="C43" i="8"/>
  <c r="C43" i="14"/>
  <c r="L288" i="14"/>
  <c r="L318" i="14" s="1"/>
  <c r="C318" i="14" s="1"/>
  <c r="C31" i="14"/>
  <c r="C215" i="14"/>
  <c r="C42" i="14"/>
  <c r="F117" i="14"/>
  <c r="K117" i="14"/>
  <c r="D117" i="14"/>
  <c r="B53" i="5"/>
  <c r="C111" i="18" s="1"/>
  <c r="B6" i="5"/>
  <c r="C26" i="18" s="1"/>
  <c r="E54" i="5"/>
  <c r="C42" i="8"/>
  <c r="C215" i="8"/>
  <c r="L215" i="8" s="1"/>
  <c r="B12" i="5"/>
  <c r="L318" i="8"/>
  <c r="C318" i="8" s="1"/>
  <c r="F286" i="8"/>
  <c r="G286" i="8" s="1"/>
  <c r="F287" i="8"/>
  <c r="G287" i="8" s="1"/>
  <c r="F284" i="8"/>
  <c r="G284" i="8" s="1"/>
  <c r="F198" i="8"/>
  <c r="G198" i="8" s="1"/>
  <c r="F288" i="8"/>
  <c r="G288" i="8" s="1"/>
  <c r="F285" i="8"/>
  <c r="G285" i="8" s="1"/>
  <c r="G197" i="8"/>
  <c r="F283" i="8"/>
  <c r="G283" i="8" s="1"/>
  <c r="F300" i="8"/>
  <c r="G300" i="8" s="1"/>
  <c r="F215" i="8"/>
  <c r="W11" i="5"/>
  <c r="X11" i="5"/>
  <c r="Y11" i="5"/>
  <c r="V11" i="5"/>
  <c r="V7" i="5"/>
  <c r="X17" i="5" s="1"/>
  <c r="G215" i="18" l="1"/>
  <c r="G234" i="18" s="1"/>
  <c r="G238" i="18" s="1"/>
  <c r="G240" i="18" s="1"/>
  <c r="G242" i="18" s="1"/>
  <c r="L215" i="18"/>
  <c r="L233" i="18" s="1"/>
  <c r="C233" i="18" s="1"/>
  <c r="L42" i="18"/>
  <c r="G111" i="18"/>
  <c r="C117" i="18"/>
  <c r="L111" i="18"/>
  <c r="G319" i="14"/>
  <c r="G323" i="14" s="1"/>
  <c r="G325" i="14" s="1"/>
  <c r="G327" i="14" s="1"/>
  <c r="C111" i="8"/>
  <c r="L111" i="8" s="1"/>
  <c r="C111" i="14"/>
  <c r="L116" i="14"/>
  <c r="L42" i="14"/>
  <c r="C26" i="14"/>
  <c r="G215" i="14"/>
  <c r="G234" i="14" s="1"/>
  <c r="G238" i="14" s="1"/>
  <c r="L215" i="14"/>
  <c r="L233" i="14" s="1"/>
  <c r="C233" i="14" s="1"/>
  <c r="L43" i="14"/>
  <c r="B55" i="5"/>
  <c r="C113" i="18" s="1"/>
  <c r="B59" i="5"/>
  <c r="B54" i="5"/>
  <c r="C112" i="18" s="1"/>
  <c r="G215" i="8"/>
  <c r="G234" i="8" s="1"/>
  <c r="G238" i="8" s="1"/>
  <c r="G319" i="8"/>
  <c r="G323" i="8" s="1"/>
  <c r="V12" i="5"/>
  <c r="V13" i="5" s="1"/>
  <c r="W18" i="5" s="1"/>
  <c r="X18" i="5"/>
  <c r="AB18" i="5" s="1"/>
  <c r="Y12" i="5"/>
  <c r="Y13" i="5" s="1"/>
  <c r="W21" i="5" s="1"/>
  <c r="AA21" i="5"/>
  <c r="AB21" i="5" s="1"/>
  <c r="X12" i="5"/>
  <c r="X13" i="5" s="1"/>
  <c r="W20" i="5" s="1"/>
  <c r="Z20" i="5"/>
  <c r="AB20" i="5" s="1"/>
  <c r="W12" i="5"/>
  <c r="W13" i="5" s="1"/>
  <c r="W19" i="5" s="1"/>
  <c r="Y19" i="5"/>
  <c r="AB19" i="5" s="1"/>
  <c r="W6" i="5"/>
  <c r="W7" i="5" s="1"/>
  <c r="G33" i="8"/>
  <c r="K34" i="8"/>
  <c r="L117" i="18" l="1"/>
  <c r="G117" i="18"/>
  <c r="L112" i="18"/>
  <c r="L113" i="18"/>
  <c r="G240" i="8"/>
  <c r="G242" i="8" s="1"/>
  <c r="G325" i="8"/>
  <c r="G327" i="8" s="1"/>
  <c r="C117" i="8"/>
  <c r="L117" i="8" s="1"/>
  <c r="C113" i="8"/>
  <c r="L113" i="8" s="1"/>
  <c r="C113" i="14"/>
  <c r="C112" i="14"/>
  <c r="L111" i="14"/>
  <c r="G111" i="14"/>
  <c r="C117" i="14"/>
  <c r="G240" i="14"/>
  <c r="G242" i="14" s="1"/>
  <c r="C112" i="8"/>
  <c r="L112" i="8" s="1"/>
  <c r="B56" i="5"/>
  <c r="X6" i="5"/>
  <c r="X7" i="5" s="1"/>
  <c r="Y17" i="5"/>
  <c r="C114" i="18" l="1"/>
  <c r="C115" i="18"/>
  <c r="G117" i="8"/>
  <c r="G117" i="14"/>
  <c r="L117" i="14"/>
  <c r="L113" i="14"/>
  <c r="L112" i="14"/>
  <c r="C115" i="14"/>
  <c r="C114" i="14"/>
  <c r="C114" i="8"/>
  <c r="L114" i="8" s="1"/>
  <c r="C115" i="8"/>
  <c r="L115" i="8" s="1"/>
  <c r="Y6" i="5"/>
  <c r="Y7" i="5" s="1"/>
  <c r="Z17" i="5"/>
  <c r="L35" i="8"/>
  <c r="L34" i="8"/>
  <c r="D18" i="1"/>
  <c r="D14" i="1"/>
  <c r="E6" i="1"/>
  <c r="E7" i="1"/>
  <c r="E8" i="1"/>
  <c r="E9" i="1"/>
  <c r="E10" i="1"/>
  <c r="E5" i="1"/>
  <c r="L115" i="18" l="1"/>
  <c r="L114" i="18"/>
  <c r="L114" i="14"/>
  <c r="L115" i="14"/>
  <c r="AA17" i="5"/>
  <c r="AB17" i="5" s="1"/>
  <c r="V9" i="5"/>
  <c r="U12" i="5" s="1"/>
  <c r="U13" i="5" s="1"/>
  <c r="A11" i="1"/>
  <c r="A6" i="1"/>
  <c r="A7" i="1"/>
  <c r="A8" i="1"/>
  <c r="A9" i="1"/>
  <c r="A10" i="1"/>
  <c r="A5" i="1"/>
  <c r="N91" i="2"/>
  <c r="Q91" i="2" s="1"/>
  <c r="P88" i="2"/>
  <c r="Q88" i="2" s="1"/>
  <c r="O88" i="2"/>
  <c r="P87" i="2"/>
  <c r="Q87" i="2" s="1"/>
  <c r="O87" i="2"/>
  <c r="Q86" i="2"/>
  <c r="R86" i="2" s="1"/>
  <c r="S86" i="2" s="1"/>
  <c r="O86" i="2"/>
  <c r="Q85" i="2"/>
  <c r="O85" i="2"/>
  <c r="Q84" i="2"/>
  <c r="R84" i="2" s="1"/>
  <c r="S84" i="2" s="1"/>
  <c r="O84" i="2"/>
  <c r="Q83" i="2"/>
  <c r="R83" i="2" s="1"/>
  <c r="S83" i="2" s="1"/>
  <c r="O83" i="2"/>
  <c r="Q82" i="2"/>
  <c r="R82" i="2" s="1"/>
  <c r="S82" i="2" s="1"/>
  <c r="O82" i="2"/>
  <c r="Q81" i="2"/>
  <c r="R81" i="2" s="1"/>
  <c r="S81" i="2" s="1"/>
  <c r="O81" i="2"/>
  <c r="Q80" i="2"/>
  <c r="R80" i="2" s="1"/>
  <c r="S80" i="2" s="1"/>
  <c r="O80" i="2"/>
  <c r="Q79" i="2"/>
  <c r="R79" i="2" s="1"/>
  <c r="S79" i="2" s="1"/>
  <c r="O79" i="2"/>
  <c r="Q77" i="2"/>
  <c r="R77" i="2" s="1"/>
  <c r="S77" i="2" s="1"/>
  <c r="O77" i="2"/>
  <c r="Q76" i="2"/>
  <c r="O76" i="2"/>
  <c r="Q75" i="2"/>
  <c r="O75" i="2"/>
  <c r="Q74" i="2"/>
  <c r="O74" i="2"/>
  <c r="Q73" i="2"/>
  <c r="O73" i="2"/>
  <c r="Q72" i="2"/>
  <c r="R72" i="2" s="1"/>
  <c r="S72" i="2" s="1"/>
  <c r="O72" i="2"/>
  <c r="Q71" i="2"/>
  <c r="O71" i="2"/>
  <c r="Q70" i="2"/>
  <c r="R70" i="2" s="1"/>
  <c r="S70" i="2" s="1"/>
  <c r="O70" i="2"/>
  <c r="Q69" i="2"/>
  <c r="R69" i="2" s="1"/>
  <c r="S69" i="2" s="1"/>
  <c r="O69" i="2"/>
  <c r="Q68" i="2"/>
  <c r="R68" i="2" s="1"/>
  <c r="S68" i="2" s="1"/>
  <c r="O68" i="2"/>
  <c r="Q67" i="2"/>
  <c r="R67" i="2" s="1"/>
  <c r="S67" i="2" s="1"/>
  <c r="O67" i="2"/>
  <c r="Q66" i="2"/>
  <c r="R66" i="2" s="1"/>
  <c r="S66" i="2" s="1"/>
  <c r="O66" i="2"/>
  <c r="Q65" i="2"/>
  <c r="R65" i="2" s="1"/>
  <c r="S65" i="2" s="1"/>
  <c r="O65" i="2"/>
  <c r="Q64" i="2"/>
  <c r="R64" i="2" s="1"/>
  <c r="S64" i="2" s="1"/>
  <c r="O64" i="2"/>
  <c r="Q63" i="2"/>
  <c r="R63" i="2" s="1"/>
  <c r="S63" i="2" s="1"/>
  <c r="O63" i="2"/>
  <c r="Q62" i="2"/>
  <c r="R62" i="2" s="1"/>
  <c r="S62" i="2" s="1"/>
  <c r="O62" i="2"/>
  <c r="Q61" i="2"/>
  <c r="R61" i="2" s="1"/>
  <c r="S61" i="2" s="1"/>
  <c r="O61" i="2"/>
  <c r="Q60" i="2"/>
  <c r="O60" i="2"/>
  <c r="Q59" i="2"/>
  <c r="O59" i="2"/>
  <c r="Q58" i="2"/>
  <c r="O58" i="2"/>
  <c r="Q57" i="2"/>
  <c r="O57" i="2"/>
  <c r="Q54" i="2"/>
  <c r="R54" i="2" s="1"/>
  <c r="S54" i="2" s="1"/>
  <c r="O54" i="2"/>
  <c r="Q53" i="2"/>
  <c r="O53" i="2"/>
  <c r="Q52" i="2"/>
  <c r="R52" i="2" s="1"/>
  <c r="S52" i="2" s="1"/>
  <c r="O52" i="2"/>
  <c r="Q51" i="2"/>
  <c r="R51" i="2" s="1"/>
  <c r="S51" i="2" s="1"/>
  <c r="O51" i="2"/>
  <c r="Q50" i="2"/>
  <c r="O50" i="2"/>
  <c r="Q49" i="2"/>
  <c r="R49" i="2" s="1"/>
  <c r="S49" i="2" s="1"/>
  <c r="O49" i="2"/>
  <c r="Q48" i="2"/>
  <c r="R48" i="2" s="1"/>
  <c r="S48" i="2" s="1"/>
  <c r="O48" i="2"/>
  <c r="Q47" i="2"/>
  <c r="R47" i="2" s="1"/>
  <c r="S47" i="2" s="1"/>
  <c r="O47" i="2"/>
  <c r="Q46" i="2"/>
  <c r="O46" i="2"/>
  <c r="Q45" i="2"/>
  <c r="R45" i="2" s="1"/>
  <c r="S45" i="2" s="1"/>
  <c r="O45" i="2"/>
  <c r="Q44" i="2"/>
  <c r="R44" i="2" s="1"/>
  <c r="S44" i="2" s="1"/>
  <c r="O44" i="2"/>
  <c r="Q43" i="2"/>
  <c r="R43" i="2" s="1"/>
  <c r="S43" i="2" s="1"/>
  <c r="O43" i="2"/>
  <c r="Q42" i="2"/>
  <c r="O42" i="2"/>
  <c r="Q41" i="2"/>
  <c r="O41" i="2"/>
  <c r="Q40" i="2"/>
  <c r="O40" i="2"/>
  <c r="Q39" i="2"/>
  <c r="O39" i="2"/>
  <c r="Q38" i="2"/>
  <c r="R38" i="2" s="1"/>
  <c r="S38" i="2" s="1"/>
  <c r="O38" i="2"/>
  <c r="Q37" i="2"/>
  <c r="O37" i="2"/>
  <c r="Q36" i="2"/>
  <c r="R36" i="2" s="1"/>
  <c r="S36" i="2" s="1"/>
  <c r="O36" i="2"/>
  <c r="Q35" i="2"/>
  <c r="R35" i="2" s="1"/>
  <c r="S35" i="2" s="1"/>
  <c r="O35" i="2"/>
  <c r="Q34" i="2"/>
  <c r="O34" i="2"/>
  <c r="Q33" i="2"/>
  <c r="R33" i="2" s="1"/>
  <c r="S33" i="2" s="1"/>
  <c r="O33" i="2"/>
  <c r="Q32" i="2"/>
  <c r="R32" i="2" s="1"/>
  <c r="S32" i="2" s="1"/>
  <c r="O32" i="2"/>
  <c r="Q31" i="2"/>
  <c r="R31" i="2" s="1"/>
  <c r="S31" i="2" s="1"/>
  <c r="O31" i="2"/>
  <c r="Q30" i="2"/>
  <c r="R30" i="2" s="1"/>
  <c r="S30" i="2" s="1"/>
  <c r="O30" i="2"/>
  <c r="Q29" i="2"/>
  <c r="R29" i="2" s="1"/>
  <c r="S29" i="2" s="1"/>
  <c r="O29" i="2"/>
  <c r="Q28" i="2"/>
  <c r="R28" i="2" s="1"/>
  <c r="S28" i="2" s="1"/>
  <c r="O28" i="2"/>
  <c r="Q25" i="2"/>
  <c r="R25" i="2" s="1"/>
  <c r="S25" i="2" s="1"/>
  <c r="O25" i="2"/>
  <c r="P24" i="2"/>
  <c r="Q24" i="2" s="1"/>
  <c r="O24" i="2"/>
  <c r="P23" i="2"/>
  <c r="Q23" i="2" s="1"/>
  <c r="O23" i="2"/>
  <c r="P22" i="2"/>
  <c r="Q22" i="2" s="1"/>
  <c r="O22" i="2"/>
  <c r="Q21" i="2"/>
  <c r="O21" i="2"/>
  <c r="Q20" i="2"/>
  <c r="R20" i="2" s="1"/>
  <c r="S20" i="2" s="1"/>
  <c r="O20" i="2"/>
  <c r="AT69" i="5"/>
  <c r="Q19" i="2"/>
  <c r="R19" i="2" s="1"/>
  <c r="S19" i="2" s="1"/>
  <c r="O19" i="2"/>
  <c r="Q18" i="2"/>
  <c r="R18" i="2" s="1"/>
  <c r="S18" i="2" s="1"/>
  <c r="O18" i="2"/>
  <c r="G69" i="5"/>
  <c r="P15" i="2"/>
  <c r="Q15" i="2" s="1"/>
  <c r="O15" i="2"/>
  <c r="P14" i="2"/>
  <c r="Q14" i="2" s="1"/>
  <c r="O14" i="2"/>
  <c r="P13" i="2"/>
  <c r="Q13" i="2" s="1"/>
  <c r="O13" i="2"/>
  <c r="P12" i="2"/>
  <c r="Q12" i="2" s="1"/>
  <c r="R12" i="2" s="1"/>
  <c r="S12" i="2" s="1"/>
  <c r="O12" i="2"/>
  <c r="P11" i="2"/>
  <c r="Q11" i="2" s="1"/>
  <c r="O11" i="2"/>
  <c r="P10" i="2"/>
  <c r="Q10" i="2" s="1"/>
  <c r="O10" i="2"/>
  <c r="P9" i="2"/>
  <c r="Q9" i="2" s="1"/>
  <c r="L147" i="18" l="1"/>
  <c r="C147" i="18" s="1"/>
  <c r="L147" i="14"/>
  <c r="C147" i="14" s="1"/>
  <c r="BI66" i="5"/>
  <c r="G66" i="5"/>
  <c r="H69" i="5"/>
  <c r="H66" i="5" s="1"/>
  <c r="F116" i="18" s="1"/>
  <c r="G116" i="18" s="1"/>
  <c r="AD69" i="5"/>
  <c r="P39" i="5"/>
  <c r="BE69" i="5"/>
  <c r="BE66" i="5" s="1"/>
  <c r="F129" i="18" s="1"/>
  <c r="G129" i="18" s="1"/>
  <c r="BD66" i="5"/>
  <c r="AT66" i="5"/>
  <c r="AU69" i="5"/>
  <c r="AU66" i="5" s="1"/>
  <c r="F112" i="18" s="1"/>
  <c r="G112" i="18" s="1"/>
  <c r="AY69" i="5"/>
  <c r="R34" i="2"/>
  <c r="S34" i="2" s="1"/>
  <c r="BI36" i="5"/>
  <c r="R50" i="2"/>
  <c r="S50" i="2" s="1"/>
  <c r="R46" i="2"/>
  <c r="S46" i="2" s="1"/>
  <c r="W17" i="5"/>
  <c r="W15" i="5"/>
  <c r="R41" i="2"/>
  <c r="S41" i="2" s="1"/>
  <c r="R59" i="2"/>
  <c r="S59" i="2" s="1"/>
  <c r="AK42" i="5"/>
  <c r="BJ66" i="5"/>
  <c r="F130" i="18" s="1"/>
  <c r="G130" i="18" s="1"/>
  <c r="R85" i="2"/>
  <c r="S85" i="2" s="1"/>
  <c r="P40" i="5"/>
  <c r="R21" i="2"/>
  <c r="S21" i="2" s="1"/>
  <c r="R13" i="2"/>
  <c r="S13" i="2" s="1"/>
  <c r="R22" i="2"/>
  <c r="S22" i="2" s="1"/>
  <c r="R75" i="2"/>
  <c r="S75" i="2" s="1"/>
  <c r="R11" i="2"/>
  <c r="S11" i="2" s="1"/>
  <c r="R23" i="2"/>
  <c r="S23" i="2" s="1"/>
  <c r="AJ69" i="5"/>
  <c r="R40" i="2"/>
  <c r="S40" i="2" s="1"/>
  <c r="AH66" i="5"/>
  <c r="R57" i="2"/>
  <c r="S57" i="2" s="1"/>
  <c r="R9" i="2"/>
  <c r="S9" i="2" s="1"/>
  <c r="R71" i="2"/>
  <c r="S71" i="2" s="1"/>
  <c r="R37" i="2"/>
  <c r="S37" i="2" s="1"/>
  <c r="R24" i="2"/>
  <c r="S24" i="2" s="1"/>
  <c r="AO69" i="5"/>
  <c r="R53" i="2"/>
  <c r="S53" i="2" s="1"/>
  <c r="R42" i="2"/>
  <c r="S42" i="2" s="1"/>
  <c r="R87" i="2"/>
  <c r="S87" i="2" s="1"/>
  <c r="R58" i="2"/>
  <c r="S58" i="2" s="1"/>
  <c r="R88" i="2"/>
  <c r="S88" i="2" s="1"/>
  <c r="R76" i="2"/>
  <c r="S76" i="2" s="1"/>
  <c r="R14" i="2"/>
  <c r="S14" i="2" s="1"/>
  <c r="R15" i="2"/>
  <c r="S15" i="2" s="1"/>
  <c r="R73" i="2"/>
  <c r="S73" i="2" s="1"/>
  <c r="R10" i="2"/>
  <c r="S10" i="2" s="1"/>
  <c r="R39" i="2"/>
  <c r="S39" i="2" s="1"/>
  <c r="R60" i="2"/>
  <c r="S60" i="2" s="1"/>
  <c r="R91" i="2"/>
  <c r="S91" i="2" s="1"/>
  <c r="AK44" i="5"/>
  <c r="R74" i="2"/>
  <c r="S74" i="2" s="1"/>
  <c r="O91" i="2"/>
  <c r="F129" i="14" l="1"/>
  <c r="G129" i="14" s="1"/>
  <c r="F112" i="14"/>
  <c r="G112" i="14" s="1"/>
  <c r="F112" i="8"/>
  <c r="G112" i="8" s="1"/>
  <c r="F116" i="14"/>
  <c r="G116" i="14" s="1"/>
  <c r="F116" i="8"/>
  <c r="G116" i="8" s="1"/>
  <c r="F130" i="14"/>
  <c r="G130" i="14" s="1"/>
  <c r="Y39" i="5"/>
  <c r="Q40" i="5"/>
  <c r="F130" i="8"/>
  <c r="G130" i="8" s="1"/>
  <c r="F129" i="8"/>
  <c r="G129" i="8" s="1"/>
  <c r="AZ69" i="5"/>
  <c r="AZ66" i="5" s="1"/>
  <c r="AY66" i="5"/>
  <c r="AO66" i="5"/>
  <c r="AP69" i="5"/>
  <c r="AP66" i="5" s="1"/>
  <c r="F115" i="18" s="1"/>
  <c r="G115" i="18" s="1"/>
  <c r="BT39" i="5"/>
  <c r="BT36" i="5" s="1"/>
  <c r="F42" i="18" s="1"/>
  <c r="G42" i="18" s="1"/>
  <c r="Q39" i="5"/>
  <c r="AD66" i="5"/>
  <c r="AE69" i="5"/>
  <c r="AE66" i="5" s="1"/>
  <c r="F113" i="18" s="1"/>
  <c r="G113" i="18" s="1"/>
  <c r="AJ66" i="5"/>
  <c r="AK69" i="5"/>
  <c r="AK66" i="5" s="1"/>
  <c r="F114" i="18" s="1"/>
  <c r="G114" i="18" s="1"/>
  <c r="BS36" i="5"/>
  <c r="AO36" i="5"/>
  <c r="BJ39" i="5"/>
  <c r="BJ36" i="5" s="1"/>
  <c r="G43" i="5"/>
  <c r="H43" i="5" s="1"/>
  <c r="AC19" i="5"/>
  <c r="AC20" i="5"/>
  <c r="AC18" i="5"/>
  <c r="AC21" i="5"/>
  <c r="AC17" i="5"/>
  <c r="BE39" i="5"/>
  <c r="BX36" i="5"/>
  <c r="BY39" i="5"/>
  <c r="BY36" i="5" s="1"/>
  <c r="F43" i="18" s="1"/>
  <c r="G43" i="18" s="1"/>
  <c r="H39" i="5"/>
  <c r="AK43" i="5"/>
  <c r="AT36" i="5"/>
  <c r="AU39" i="5"/>
  <c r="AU36" i="5" s="1"/>
  <c r="AD36" i="5"/>
  <c r="AE39" i="5"/>
  <c r="AE36" i="5" s="1"/>
  <c r="F28" i="18" s="1"/>
  <c r="G148" i="18" l="1"/>
  <c r="G152" i="18" s="1"/>
  <c r="G154" i="18" s="1"/>
  <c r="G156" i="18" s="1"/>
  <c r="F43" i="14"/>
  <c r="G43" i="14" s="1"/>
  <c r="F42" i="14"/>
  <c r="G42" i="14" s="1"/>
  <c r="F28" i="14"/>
  <c r="F113" i="14"/>
  <c r="G113" i="14" s="1"/>
  <c r="F113" i="8"/>
  <c r="G113" i="8" s="1"/>
  <c r="F114" i="14"/>
  <c r="G114" i="14" s="1"/>
  <c r="F114" i="8"/>
  <c r="G114" i="8" s="1"/>
  <c r="F115" i="14"/>
  <c r="G115" i="14" s="1"/>
  <c r="F115" i="8"/>
  <c r="G115" i="8" s="1"/>
  <c r="AJ40" i="5"/>
  <c r="AJ41" i="5" s="1"/>
  <c r="AP39" i="5"/>
  <c r="AP36" i="5" s="1"/>
  <c r="F30" i="18" s="1"/>
  <c r="F28" i="8"/>
  <c r="F42" i="8"/>
  <c r="F43" i="8"/>
  <c r="G111" i="8"/>
  <c r="AD17" i="5"/>
  <c r="U17" i="5" s="1"/>
  <c r="G44" i="5"/>
  <c r="H44" i="5" s="1"/>
  <c r="H40" i="5"/>
  <c r="AK39" i="5"/>
  <c r="BE43" i="5"/>
  <c r="H42" i="5"/>
  <c r="AD21" i="5"/>
  <c r="U21" i="5" s="1"/>
  <c r="AD18" i="5"/>
  <c r="U18" i="5" s="1"/>
  <c r="AD20" i="5"/>
  <c r="U20" i="5" s="1"/>
  <c r="AD19" i="5"/>
  <c r="U19" i="5" s="1"/>
  <c r="AK40" i="5"/>
  <c r="BE41" i="5"/>
  <c r="BE40" i="5"/>
  <c r="G148" i="14" l="1"/>
  <c r="G152" i="14" s="1"/>
  <c r="G154" i="14" s="1"/>
  <c r="G156" i="14" s="1"/>
  <c r="F30" i="14"/>
  <c r="F30" i="8"/>
  <c r="AK41" i="5"/>
  <c r="Y27" i="5"/>
  <c r="Y28" i="5" s="1"/>
  <c r="V27" i="5"/>
  <c r="W27" i="5"/>
  <c r="X27" i="5"/>
  <c r="BE42" i="5"/>
  <c r="Y24" i="5" l="1"/>
  <c r="X28" i="5"/>
  <c r="X24" i="5"/>
  <c r="W24" i="5"/>
  <c r="W28" i="5"/>
  <c r="V28" i="5"/>
  <c r="V31" i="5"/>
  <c r="V24" i="5"/>
  <c r="V32" i="5" l="1"/>
  <c r="V30" i="5"/>
  <c r="CJ36" i="5" s="1"/>
  <c r="B44" i="8" l="1"/>
  <c r="K44" i="8" s="1"/>
  <c r="B44" i="18"/>
  <c r="B44" i="14"/>
  <c r="CL36" i="5"/>
  <c r="CK36" i="5"/>
  <c r="D44" i="18" l="1"/>
  <c r="F44" i="18"/>
  <c r="K44" i="18"/>
  <c r="C44" i="18"/>
  <c r="C44" i="14"/>
  <c r="F44" i="14"/>
  <c r="K44" i="14"/>
  <c r="D44" i="14"/>
  <c r="D44" i="8"/>
  <c r="F44" i="8"/>
  <c r="C44" i="8"/>
  <c r="L44" i="8" s="1"/>
  <c r="G44" i="18" l="1"/>
  <c r="L44" i="18"/>
  <c r="L44" i="14"/>
  <c r="G44" i="14"/>
  <c r="G44" i="8"/>
  <c r="K53" i="8"/>
  <c r="L53" i="8" s="1"/>
  <c r="L225" i="8" l="1"/>
  <c r="L233" i="8" s="1"/>
  <c r="C233" i="8" s="1"/>
  <c r="G148" i="8" l="1"/>
  <c r="G152" i="8" s="1"/>
  <c r="G154" i="8" s="1"/>
  <c r="C39" i="5"/>
  <c r="F36" i="5"/>
  <c r="E36" i="5"/>
  <c r="D36" i="5"/>
  <c r="G36" i="5"/>
  <c r="B36" i="5"/>
  <c r="D31" i="18" s="1"/>
  <c r="H36" i="5"/>
  <c r="F31" i="18" s="1"/>
  <c r="A36" i="5"/>
  <c r="B31" i="18" s="1"/>
  <c r="K31" i="18" l="1"/>
  <c r="L31" i="18" s="1"/>
  <c r="G31" i="18"/>
  <c r="BL36" i="5"/>
  <c r="B34" i="18" s="1"/>
  <c r="D31" i="14"/>
  <c r="F31" i="14"/>
  <c r="B31" i="14"/>
  <c r="B31" i="8"/>
  <c r="K31" i="8" s="1"/>
  <c r="BQ66" i="5"/>
  <c r="F31" i="8"/>
  <c r="BB36" i="5"/>
  <c r="B27" i="18" s="1"/>
  <c r="J36" i="5"/>
  <c r="G156" i="8"/>
  <c r="S36" i="5"/>
  <c r="D31" i="8"/>
  <c r="BG36" i="5"/>
  <c r="B35" i="18" s="1"/>
  <c r="AM36" i="5"/>
  <c r="B30" i="18" s="1"/>
  <c r="AC36" i="5"/>
  <c r="CF36" i="5"/>
  <c r="AR36" i="5"/>
  <c r="B32" i="18" s="1"/>
  <c r="AG36" i="5"/>
  <c r="B29" i="18" s="1"/>
  <c r="B26" i="18" l="1"/>
  <c r="K26" i="18" s="1"/>
  <c r="L26" i="18" s="1"/>
  <c r="BO36" i="5"/>
  <c r="F34" i="18" s="1"/>
  <c r="BN36" i="5"/>
  <c r="BM36" i="5"/>
  <c r="B34" i="14"/>
  <c r="C34" i="14" s="1"/>
  <c r="C35" i="14" s="1"/>
  <c r="B34" i="8"/>
  <c r="F32" i="18"/>
  <c r="K32" i="18"/>
  <c r="D32" i="18"/>
  <c r="C32" i="18"/>
  <c r="K27" i="18"/>
  <c r="K30" i="18"/>
  <c r="D35" i="18"/>
  <c r="F35" i="18"/>
  <c r="D34" i="18"/>
  <c r="C34" i="18"/>
  <c r="C35" i="18" s="1"/>
  <c r="K29" i="18"/>
  <c r="Q36" i="5"/>
  <c r="B35" i="8"/>
  <c r="G31" i="14"/>
  <c r="K31" i="14"/>
  <c r="L31" i="14" s="1"/>
  <c r="B35" i="14"/>
  <c r="D35" i="14" s="1"/>
  <c r="B26" i="14"/>
  <c r="K26" i="14" s="1"/>
  <c r="L26" i="14" s="1"/>
  <c r="B30" i="14"/>
  <c r="K30" i="14" s="1"/>
  <c r="B29" i="14"/>
  <c r="K29" i="14" s="1"/>
  <c r="B32" i="8"/>
  <c r="K32" i="8" s="1"/>
  <c r="B32" i="14"/>
  <c r="BC36" i="5"/>
  <c r="D27" i="18" s="1"/>
  <c r="B27" i="14"/>
  <c r="L147" i="8"/>
  <c r="C147" i="8" s="1"/>
  <c r="BE36" i="5"/>
  <c r="F27" i="18" s="1"/>
  <c r="BD36" i="5"/>
  <c r="O36" i="5"/>
  <c r="P36" i="5"/>
  <c r="B43" i="8" s="1"/>
  <c r="B27" i="8"/>
  <c r="K27" i="8" s="1"/>
  <c r="B26" i="8"/>
  <c r="N36" i="5"/>
  <c r="E5" i="5" s="1"/>
  <c r="L36" i="5"/>
  <c r="E4" i="5" s="1"/>
  <c r="M36" i="5"/>
  <c r="E66" i="5" s="1"/>
  <c r="K36" i="5"/>
  <c r="B30" i="8"/>
  <c r="B29" i="8"/>
  <c r="AK36" i="5"/>
  <c r="F29" i="18" s="1"/>
  <c r="AJ36" i="5"/>
  <c r="AH36" i="5"/>
  <c r="D29" i="18" s="1"/>
  <c r="X36" i="5"/>
  <c r="Y36" i="5"/>
  <c r="T36" i="5"/>
  <c r="W36" i="5"/>
  <c r="V36" i="5"/>
  <c r="G5" i="5" s="1"/>
  <c r="U36" i="5"/>
  <c r="F34" i="8" l="1"/>
  <c r="F34" i="14"/>
  <c r="G34" i="14" s="1"/>
  <c r="D34" i="14"/>
  <c r="D34" i="8"/>
  <c r="L32" i="18"/>
  <c r="D26" i="18"/>
  <c r="F26" i="18"/>
  <c r="G26" i="18" s="1"/>
  <c r="G32" i="18"/>
  <c r="G35" i="18"/>
  <c r="G34" i="18"/>
  <c r="K26" i="8"/>
  <c r="D26" i="8"/>
  <c r="F35" i="14"/>
  <c r="G35" i="14" s="1"/>
  <c r="D26" i="14"/>
  <c r="F32" i="8"/>
  <c r="D29" i="14"/>
  <c r="D32" i="8"/>
  <c r="F27" i="14"/>
  <c r="F29" i="14"/>
  <c r="K27" i="14"/>
  <c r="D27" i="8"/>
  <c r="D27" i="14"/>
  <c r="F32" i="14"/>
  <c r="D32" i="14"/>
  <c r="C32" i="14"/>
  <c r="K32" i="14"/>
  <c r="F26" i="8"/>
  <c r="F26" i="14"/>
  <c r="G26" i="14" s="1"/>
  <c r="F27" i="8"/>
  <c r="D35" i="8"/>
  <c r="F35" i="8"/>
  <c r="D66" i="5"/>
  <c r="B42" i="8"/>
  <c r="K29" i="8"/>
  <c r="D29" i="8"/>
  <c r="F29" i="8"/>
  <c r="G4" i="5"/>
  <c r="CA36" i="5"/>
  <c r="K30" i="8"/>
  <c r="G43" i="8"/>
  <c r="K43" i="8"/>
  <c r="L43" i="8" s="1"/>
  <c r="G32" i="14" l="1"/>
  <c r="L32" i="14"/>
  <c r="G42" i="8"/>
  <c r="K42" i="8"/>
  <c r="L42" i="8" s="1"/>
  <c r="L33" i="8"/>
  <c r="C33" i="8"/>
  <c r="C26" i="8"/>
  <c r="C32" i="8" s="1"/>
  <c r="G31" i="8"/>
  <c r="L32" i="8" l="1"/>
  <c r="G32" i="8"/>
  <c r="L31" i="8"/>
  <c r="L26" i="8"/>
  <c r="C34" i="8"/>
  <c r="G26" i="8"/>
  <c r="E7" i="5"/>
  <c r="G7" i="5" s="1"/>
  <c r="B8" i="5"/>
  <c r="C28" i="18" s="1"/>
  <c r="B7" i="5"/>
  <c r="C27" i="18" s="1"/>
  <c r="B10" i="5"/>
  <c r="G27" i="18" l="1"/>
  <c r="L27" i="18"/>
  <c r="L28" i="18"/>
  <c r="G28" i="18"/>
  <c r="C27" i="14"/>
  <c r="C28" i="14"/>
  <c r="G28" i="14" s="1"/>
  <c r="B9" i="5"/>
  <c r="C28" i="8"/>
  <c r="C27" i="8"/>
  <c r="C35" i="8"/>
  <c r="G35" i="8" s="1"/>
  <c r="G34" i="8"/>
  <c r="C29" i="18" l="1"/>
  <c r="C30" i="18"/>
  <c r="L28" i="14"/>
  <c r="G27" i="14"/>
  <c r="L27" i="14"/>
  <c r="C30" i="14"/>
  <c r="C29" i="14"/>
  <c r="G28" i="8"/>
  <c r="L28" i="8"/>
  <c r="G27" i="8"/>
  <c r="L27" i="8"/>
  <c r="C30" i="8"/>
  <c r="C29" i="8"/>
  <c r="G30" i="18" l="1"/>
  <c r="L30" i="18"/>
  <c r="G29" i="18"/>
  <c r="L29" i="18"/>
  <c r="L29" i="14"/>
  <c r="G29" i="14"/>
  <c r="G30" i="14"/>
  <c r="L30" i="14"/>
  <c r="L30" i="8"/>
  <c r="G30" i="8"/>
  <c r="G29" i="8"/>
  <c r="L29" i="8"/>
  <c r="G62" i="18" l="1"/>
  <c r="G66" i="18" s="1"/>
  <c r="G68" i="18" s="1"/>
  <c r="G70" i="18" s="1"/>
  <c r="L61" i="18"/>
  <c r="C61" i="18" s="1"/>
  <c r="L61" i="8"/>
  <c r="C61" i="8" s="1"/>
  <c r="G62" i="8"/>
  <c r="G66" i="8" s="1"/>
  <c r="G62" i="14"/>
  <c r="G66" i="14" s="1"/>
  <c r="G68" i="14" s="1"/>
  <c r="G70" i="14" s="1"/>
  <c r="L61" i="14"/>
  <c r="C61" i="14" s="1"/>
  <c r="G68" i="8" l="1"/>
  <c r="G70"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carlos.reyes</author>
  </authors>
  <commentList>
    <comment ref="E5" authorId="0" shapeId="0" xr:uid="{7A597F0E-48FA-4970-AB5A-DE7197EEAE1D}">
      <text>
        <r>
          <rPr>
            <b/>
            <sz val="9"/>
            <color indexed="81"/>
            <rFont val="Tahoma"/>
            <family val="2"/>
          </rPr>
          <t>Nombre cliente, empresa y fecha. default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carlos.reyes</author>
  </authors>
  <commentList>
    <comment ref="E26" authorId="0" shapeId="0" xr:uid="{3FBA5A3A-D63D-4C74-B7FA-B76733373450}">
      <text>
        <r>
          <rPr>
            <b/>
            <sz val="9"/>
            <color indexed="81"/>
            <rFont val="Tahoma"/>
            <family val="2"/>
          </rPr>
          <t>Activar opción para seguridad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carlos.reyes</author>
  </authors>
  <commentList>
    <comment ref="E26" authorId="0" shapeId="0" xr:uid="{1DF9B0B8-8E59-4CFF-9BA7-8456AACB2E19}">
      <text>
        <r>
          <rPr>
            <b/>
            <sz val="9"/>
            <color indexed="81"/>
            <rFont val="Tahoma"/>
            <family val="2"/>
          </rPr>
          <t>Activar opción para seguridad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INTTEGRA</author>
  </authors>
  <commentList>
    <comment ref="L20" authorId="0" shapeId="0" xr:uid="{F9818D06-21DF-4E74-AD1D-B42FF9A324EA}">
      <text>
        <r>
          <rPr>
            <b/>
            <sz val="9"/>
            <color indexed="81"/>
            <rFont val="Tahoma"/>
            <family val="2"/>
          </rPr>
          <t xml:space="preserve">No hay poste disponible
</t>
        </r>
      </text>
    </comment>
    <comment ref="L21" authorId="0" shapeId="0" xr:uid="{09A67E29-9B93-4421-BBDA-00AA812F6F27}">
      <text>
        <r>
          <rPr>
            <b/>
            <sz val="9"/>
            <color indexed="81"/>
            <rFont val="Tahoma"/>
            <family val="2"/>
          </rPr>
          <t>No hay poste disponible</t>
        </r>
      </text>
    </comment>
    <comment ref="E22" authorId="0" shapeId="0" xr:uid="{0061B04B-813F-46BB-B2FF-2F5B370FBD46}">
      <text>
        <r>
          <rPr>
            <b/>
            <sz val="9"/>
            <color indexed="81"/>
            <rFont val="Tahoma"/>
            <family val="2"/>
          </rPr>
          <t>No hay versión disponible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carlos.reyes</author>
  </authors>
  <commentList>
    <comment ref="E38" authorId="0" shapeId="0" xr:uid="{A95CCCB8-09D6-4F76-B03B-5939D7FB2BAB}">
      <text>
        <r>
          <rPr>
            <b/>
            <sz val="9"/>
            <color indexed="81"/>
            <rFont val="Tahoma"/>
            <family val="2"/>
          </rPr>
          <t>Activar opción para seguridad</t>
        </r>
      </text>
    </comment>
    <comment ref="E50" authorId="0" shapeId="0" xr:uid="{312B68D1-DF58-45B4-AF29-F657A0A230C4}">
      <text>
        <r>
          <rPr>
            <b/>
            <sz val="9"/>
            <color indexed="81"/>
            <rFont val="Tahoma"/>
            <family val="2"/>
          </rPr>
          <t>Activar opción para seguridad</t>
        </r>
      </text>
    </comment>
    <comment ref="E62" authorId="0" shapeId="0" xr:uid="{0815612F-A904-437C-94BE-EBDE2EB4AF2C}">
      <text>
        <r>
          <rPr>
            <b/>
            <sz val="9"/>
            <color indexed="81"/>
            <rFont val="Tahoma"/>
            <family val="2"/>
          </rPr>
          <t>Activar opción para seguridad</t>
        </r>
      </text>
    </comment>
    <comment ref="E74" authorId="0" shapeId="0" xr:uid="{28CF7A87-7231-4644-85F3-8ABCCEB87EC6}">
      <text>
        <r>
          <rPr>
            <b/>
            <sz val="9"/>
            <color indexed="81"/>
            <rFont val="Tahoma"/>
            <family val="2"/>
          </rPr>
          <t>Activar opción para seguridad</t>
        </r>
      </text>
    </comment>
    <comment ref="E86" authorId="0" shapeId="0" xr:uid="{99FF02A5-CA5B-4D6C-9E4C-0D8A2504BDCA}">
      <text>
        <r>
          <rPr>
            <b/>
            <sz val="9"/>
            <color indexed="81"/>
            <rFont val="Tahoma"/>
            <family val="2"/>
          </rPr>
          <t>Activar opción para seguridad</t>
        </r>
      </text>
    </comment>
    <comment ref="E98" authorId="0" shapeId="0" xr:uid="{60F9C587-1573-436A-B25F-C4827E51F9A5}">
      <text>
        <r>
          <rPr>
            <b/>
            <sz val="9"/>
            <color indexed="81"/>
            <rFont val="Tahoma"/>
            <family val="2"/>
          </rPr>
          <t>Activar opción para seguridad</t>
        </r>
      </text>
    </comment>
    <comment ref="E110" authorId="0" shapeId="0" xr:uid="{406F9F09-EBAC-4C58-973D-AC108A43F316}">
      <text>
        <r>
          <rPr>
            <b/>
            <sz val="9"/>
            <color indexed="81"/>
            <rFont val="Tahoma"/>
            <family val="2"/>
          </rPr>
          <t>Activar opción para seguridad</t>
        </r>
      </text>
    </comment>
    <comment ref="E122" authorId="0" shapeId="0" xr:uid="{441DDBE0-D2EA-4204-A250-5F805E8EE1CD}">
      <text>
        <r>
          <rPr>
            <b/>
            <sz val="9"/>
            <color indexed="81"/>
            <rFont val="Tahoma"/>
            <family val="2"/>
          </rPr>
          <t>Activar opción para seguridad</t>
        </r>
      </text>
    </comment>
    <comment ref="E134" authorId="0" shapeId="0" xr:uid="{48D063D5-02C0-44C5-830D-A0CB25C17267}">
      <text>
        <r>
          <rPr>
            <b/>
            <sz val="9"/>
            <color indexed="81"/>
            <rFont val="Tahoma"/>
            <family val="2"/>
          </rPr>
          <t>Activar opción para seguridad</t>
        </r>
      </text>
    </comment>
    <comment ref="E146" authorId="0" shapeId="0" xr:uid="{B3C80632-E6AB-43FD-9082-959273124641}">
      <text>
        <r>
          <rPr>
            <b/>
            <sz val="9"/>
            <color indexed="81"/>
            <rFont val="Tahoma"/>
            <family val="2"/>
          </rPr>
          <t>Activar opción para seguridad</t>
        </r>
      </text>
    </comment>
    <comment ref="E158" authorId="0" shapeId="0" xr:uid="{B2F5067B-674C-46F9-A46D-E05936E033C1}">
      <text>
        <r>
          <rPr>
            <b/>
            <sz val="9"/>
            <color indexed="81"/>
            <rFont val="Tahoma"/>
            <family val="2"/>
          </rPr>
          <t>Activar opción para seguridad</t>
        </r>
      </text>
    </comment>
    <comment ref="E170" authorId="0" shapeId="0" xr:uid="{A4650319-A0FF-424E-A5AE-63F3EBFB3814}">
      <text>
        <r>
          <rPr>
            <b/>
            <sz val="9"/>
            <color indexed="81"/>
            <rFont val="Tahoma"/>
            <family val="2"/>
          </rPr>
          <t>Activar opción para seguridad</t>
        </r>
      </text>
    </comment>
    <comment ref="E182" authorId="0" shapeId="0" xr:uid="{0C2208CB-9A45-419C-9467-F6B9C7A0C0D8}">
      <text>
        <r>
          <rPr>
            <b/>
            <sz val="9"/>
            <color indexed="81"/>
            <rFont val="Tahoma"/>
            <family val="2"/>
          </rPr>
          <t>Activar opción para seguridad</t>
        </r>
      </text>
    </comment>
    <comment ref="E194" authorId="0" shapeId="0" xr:uid="{D73A9FC5-2282-4152-BCD5-62E329C6E0B6}">
      <text>
        <r>
          <rPr>
            <b/>
            <sz val="9"/>
            <color indexed="81"/>
            <rFont val="Tahoma"/>
            <family val="2"/>
          </rPr>
          <t>Activar opción para seguridad</t>
        </r>
      </text>
    </comment>
    <comment ref="E206" authorId="0" shapeId="0" xr:uid="{CD3DD9B9-D3BE-47C4-AD72-7C415FA8FA45}">
      <text>
        <r>
          <rPr>
            <b/>
            <sz val="9"/>
            <color indexed="81"/>
            <rFont val="Tahoma"/>
            <family val="2"/>
          </rPr>
          <t>Activar opción para seguridad</t>
        </r>
      </text>
    </comment>
    <comment ref="E218" authorId="0" shapeId="0" xr:uid="{EC31D01A-ADA5-40E4-AA53-B5B6839F42F4}">
      <text>
        <r>
          <rPr>
            <b/>
            <sz val="9"/>
            <color indexed="81"/>
            <rFont val="Tahoma"/>
            <family val="2"/>
          </rPr>
          <t>Activar opción para seguridad</t>
        </r>
      </text>
    </comment>
    <comment ref="E230" authorId="0" shapeId="0" xr:uid="{9C327242-8034-4827-978C-660C0672CDE7}">
      <text>
        <r>
          <rPr>
            <b/>
            <sz val="9"/>
            <color indexed="81"/>
            <rFont val="Tahoma"/>
            <family val="2"/>
          </rPr>
          <t>Activar opción para seguridad</t>
        </r>
      </text>
    </comment>
    <comment ref="E242" authorId="0" shapeId="0" xr:uid="{A302F57A-6548-4D42-AA31-956445B5D67A}">
      <text>
        <r>
          <rPr>
            <b/>
            <sz val="9"/>
            <color indexed="81"/>
            <rFont val="Tahoma"/>
            <family val="2"/>
          </rPr>
          <t>Activar opción para seguridad</t>
        </r>
      </text>
    </comment>
    <comment ref="E254" authorId="0" shapeId="0" xr:uid="{E9E1FBA5-16AB-4912-9AA5-8E165908C8DC}">
      <text>
        <r>
          <rPr>
            <b/>
            <sz val="9"/>
            <color indexed="81"/>
            <rFont val="Tahoma"/>
            <family val="2"/>
          </rPr>
          <t>Activar opción para seguridad</t>
        </r>
      </text>
    </comment>
    <comment ref="E266" authorId="0" shapeId="0" xr:uid="{60C01DB5-8BA5-41E3-BF06-70A79CAF8BCE}">
      <text>
        <r>
          <rPr>
            <b/>
            <sz val="9"/>
            <color indexed="81"/>
            <rFont val="Tahoma"/>
            <family val="2"/>
          </rPr>
          <t>Activar opción para seguridad</t>
        </r>
      </text>
    </comment>
    <comment ref="E278" authorId="0" shapeId="0" xr:uid="{0B13C59F-FA92-4A6F-8C46-874AB251DEBF}">
      <text>
        <r>
          <rPr>
            <b/>
            <sz val="9"/>
            <color indexed="81"/>
            <rFont val="Tahoma"/>
            <family val="2"/>
          </rPr>
          <t>Activar opción para seguridad</t>
        </r>
      </text>
    </comment>
    <comment ref="E290" authorId="0" shapeId="0" xr:uid="{B83D0DDF-E5D3-42D3-9F39-452C6FA01230}">
      <text>
        <r>
          <rPr>
            <b/>
            <sz val="9"/>
            <color indexed="81"/>
            <rFont val="Tahoma"/>
            <family val="2"/>
          </rPr>
          <t>Activar opción para seguridad</t>
        </r>
      </text>
    </comment>
    <comment ref="E302" authorId="0" shapeId="0" xr:uid="{0232B53E-B2C7-4686-851C-B77A5A8E8E04}">
      <text>
        <r>
          <rPr>
            <b/>
            <sz val="9"/>
            <color indexed="81"/>
            <rFont val="Tahoma"/>
            <family val="2"/>
          </rPr>
          <t>Activar opción para seguridad</t>
        </r>
      </text>
    </comment>
    <comment ref="E314" authorId="0" shapeId="0" xr:uid="{5DFD7AC6-C11E-4646-B286-83A427D404A8}">
      <text>
        <r>
          <rPr>
            <b/>
            <sz val="9"/>
            <color indexed="81"/>
            <rFont val="Tahoma"/>
            <family val="2"/>
          </rPr>
          <t>Activar opción para seguridad</t>
        </r>
      </text>
    </comment>
    <comment ref="E326" authorId="0" shapeId="0" xr:uid="{493BF89C-98C8-497D-A068-D079A5A213E9}">
      <text>
        <r>
          <rPr>
            <b/>
            <sz val="9"/>
            <color indexed="81"/>
            <rFont val="Tahoma"/>
            <family val="2"/>
          </rPr>
          <t>Activar opción para seguridad</t>
        </r>
      </text>
    </comment>
    <comment ref="E338" authorId="0" shapeId="0" xr:uid="{80E78511-715F-496D-A40D-339297E22DBD}">
      <text>
        <r>
          <rPr>
            <b/>
            <sz val="9"/>
            <color indexed="81"/>
            <rFont val="Tahoma"/>
            <family val="2"/>
          </rPr>
          <t>Activar opción para seguridad</t>
        </r>
      </text>
    </comment>
    <comment ref="E350" authorId="0" shapeId="0" xr:uid="{5DE27BD3-E0E5-47B2-AED3-C0A43AADEFD1}">
      <text>
        <r>
          <rPr>
            <b/>
            <sz val="9"/>
            <color indexed="81"/>
            <rFont val="Tahoma"/>
            <family val="2"/>
          </rPr>
          <t>Activar opción para seguridad</t>
        </r>
      </text>
    </comment>
    <comment ref="E362" authorId="0" shapeId="0" xr:uid="{35E60A33-FF21-4074-A560-DBBE7BE3A930}">
      <text>
        <r>
          <rPr>
            <b/>
            <sz val="9"/>
            <color indexed="81"/>
            <rFont val="Tahoma"/>
            <family val="2"/>
          </rPr>
          <t>Activar opción para seguridad</t>
        </r>
      </text>
    </comment>
    <comment ref="E374" authorId="0" shapeId="0" xr:uid="{6AC4F5F0-858F-4BEF-848C-EC376286C2DD}">
      <text>
        <r>
          <rPr>
            <b/>
            <sz val="9"/>
            <color indexed="81"/>
            <rFont val="Tahoma"/>
            <family val="2"/>
          </rPr>
          <t>Activar opción para seguridad</t>
        </r>
      </text>
    </comment>
    <comment ref="E386" authorId="0" shapeId="0" xr:uid="{BFBB83A0-D800-4826-8BD4-444334E6236D}">
      <text>
        <r>
          <rPr>
            <b/>
            <sz val="9"/>
            <color indexed="81"/>
            <rFont val="Tahoma"/>
            <family val="2"/>
          </rPr>
          <t>Activar opción para seguridad</t>
        </r>
      </text>
    </comment>
    <comment ref="E398" authorId="0" shapeId="0" xr:uid="{30D3E797-1D72-4A58-AD68-9EDF1CBAAD27}">
      <text>
        <r>
          <rPr>
            <b/>
            <sz val="9"/>
            <color indexed="81"/>
            <rFont val="Tahoma"/>
            <family val="2"/>
          </rPr>
          <t>Activar opción para seguridad</t>
        </r>
      </text>
    </comment>
    <comment ref="E410" authorId="0" shapeId="0" xr:uid="{00FBB6D8-679E-4106-9FE5-73098114CAFC}">
      <text>
        <r>
          <rPr>
            <b/>
            <sz val="9"/>
            <color indexed="81"/>
            <rFont val="Tahoma"/>
            <family val="2"/>
          </rPr>
          <t>Activar opción para seguridad</t>
        </r>
      </text>
    </comment>
    <comment ref="E422" authorId="0" shapeId="0" xr:uid="{9279BD76-2716-4B0C-B6CE-CF49158145F5}">
      <text>
        <r>
          <rPr>
            <b/>
            <sz val="9"/>
            <color indexed="81"/>
            <rFont val="Tahoma"/>
            <family val="2"/>
          </rPr>
          <t>Activar opción para seguridad</t>
        </r>
      </text>
    </comment>
    <comment ref="E434" authorId="0" shapeId="0" xr:uid="{BAD221C3-E561-4739-A521-FA6AAF95D6AC}">
      <text>
        <r>
          <rPr>
            <b/>
            <sz val="9"/>
            <color indexed="81"/>
            <rFont val="Tahoma"/>
            <family val="2"/>
          </rPr>
          <t>Activar opción para seguridad</t>
        </r>
      </text>
    </comment>
    <comment ref="E446" authorId="0" shapeId="0" xr:uid="{506D4C48-3430-4221-8A05-A4D7377FB74D}">
      <text>
        <r>
          <rPr>
            <b/>
            <sz val="9"/>
            <color indexed="81"/>
            <rFont val="Tahoma"/>
            <family val="2"/>
          </rPr>
          <t>Activar opción para seguridad</t>
        </r>
      </text>
    </comment>
    <comment ref="E458" authorId="0" shapeId="0" xr:uid="{04678A43-3FD5-4466-ADD5-E280DE8EAA4C}">
      <text>
        <r>
          <rPr>
            <b/>
            <sz val="9"/>
            <color indexed="81"/>
            <rFont val="Tahoma"/>
            <family val="2"/>
          </rPr>
          <t>Activar opción para seguridad</t>
        </r>
      </text>
    </comment>
    <comment ref="E470" authorId="0" shapeId="0" xr:uid="{472295FA-519B-4132-8F96-5DCF92FEA0D8}">
      <text>
        <r>
          <rPr>
            <b/>
            <sz val="9"/>
            <color indexed="81"/>
            <rFont val="Tahoma"/>
            <family val="2"/>
          </rPr>
          <t>Activar opción para seguridad</t>
        </r>
      </text>
    </comment>
    <comment ref="E482" authorId="0" shapeId="0" xr:uid="{38C9D187-75DC-453C-B78F-00EE668AEBA9}">
      <text>
        <r>
          <rPr>
            <b/>
            <sz val="9"/>
            <color indexed="81"/>
            <rFont val="Tahoma"/>
            <family val="2"/>
          </rPr>
          <t>Activar opción para seguridad</t>
        </r>
      </text>
    </comment>
    <comment ref="E494" authorId="0" shapeId="0" xr:uid="{A57CC88D-AC99-4447-9D5E-B55A6BA1FC0C}">
      <text>
        <r>
          <rPr>
            <b/>
            <sz val="9"/>
            <color indexed="81"/>
            <rFont val="Tahoma"/>
            <family val="2"/>
          </rPr>
          <t>Activar opción para seguridad</t>
        </r>
      </text>
    </comment>
    <comment ref="E506" authorId="0" shapeId="0" xr:uid="{18D18A1D-110C-4D74-91E7-A585A33D2238}">
      <text>
        <r>
          <rPr>
            <b/>
            <sz val="9"/>
            <color indexed="81"/>
            <rFont val="Tahoma"/>
            <family val="2"/>
          </rPr>
          <t>Activar opción para seguridad</t>
        </r>
      </text>
    </comment>
    <comment ref="E518" authorId="0" shapeId="0" xr:uid="{1D66D1A0-44E5-41A3-8F78-A6FBFC34F05D}">
      <text>
        <r>
          <rPr>
            <b/>
            <sz val="9"/>
            <color indexed="81"/>
            <rFont val="Tahoma"/>
            <family val="2"/>
          </rPr>
          <t>Activar opción para seguridad</t>
        </r>
      </text>
    </comment>
    <comment ref="E530" authorId="0" shapeId="0" xr:uid="{64A8E186-D5CE-4D5D-B9C8-EE19B5E46913}">
      <text>
        <r>
          <rPr>
            <b/>
            <sz val="9"/>
            <color indexed="81"/>
            <rFont val="Tahoma"/>
            <family val="2"/>
          </rPr>
          <t>Activar opción para seguridad</t>
        </r>
      </text>
    </comment>
    <comment ref="E542" authorId="0" shapeId="0" xr:uid="{E09643D4-5E58-4768-B6AA-F074DD681206}">
      <text>
        <r>
          <rPr>
            <b/>
            <sz val="9"/>
            <color indexed="81"/>
            <rFont val="Tahoma"/>
            <family val="2"/>
          </rPr>
          <t>Activar opción para seguridad</t>
        </r>
      </text>
    </comment>
    <comment ref="E554" authorId="0" shapeId="0" xr:uid="{A1BA55B3-CD88-416A-917D-DDF07949135E}">
      <text>
        <r>
          <rPr>
            <b/>
            <sz val="9"/>
            <color indexed="81"/>
            <rFont val="Tahoma"/>
            <family val="2"/>
          </rPr>
          <t>Activar opción para seguridad</t>
        </r>
      </text>
    </comment>
    <comment ref="E566" authorId="0" shapeId="0" xr:uid="{A81E7D28-9932-43C8-A84B-D8B67984443E}">
      <text>
        <r>
          <rPr>
            <b/>
            <sz val="9"/>
            <color indexed="81"/>
            <rFont val="Tahoma"/>
            <family val="2"/>
          </rPr>
          <t>Activar opción para seguridad</t>
        </r>
      </text>
    </comment>
    <comment ref="E578" authorId="0" shapeId="0" xr:uid="{1B8392F4-197D-4379-9CFF-D6A6A6D677E2}">
      <text>
        <r>
          <rPr>
            <b/>
            <sz val="9"/>
            <color indexed="81"/>
            <rFont val="Tahoma"/>
            <family val="2"/>
          </rPr>
          <t>Activar opción para seguridad</t>
        </r>
      </text>
    </comment>
    <comment ref="E590" authorId="0" shapeId="0" xr:uid="{655C3656-E352-4C3F-938C-D9B53BBDDC9F}">
      <text>
        <r>
          <rPr>
            <b/>
            <sz val="9"/>
            <color indexed="81"/>
            <rFont val="Tahoma"/>
            <family val="2"/>
          </rPr>
          <t>Activar opción para seguridad</t>
        </r>
      </text>
    </comment>
    <comment ref="E602" authorId="0" shapeId="0" xr:uid="{EBF7B934-9BC3-422A-B4C6-9FB2DE6F5FBE}">
      <text>
        <r>
          <rPr>
            <b/>
            <sz val="9"/>
            <color indexed="81"/>
            <rFont val="Tahoma"/>
            <family val="2"/>
          </rPr>
          <t>Activar opción para seguridad</t>
        </r>
      </text>
    </comment>
    <comment ref="E614" authorId="0" shapeId="0" xr:uid="{E06FFABB-98E5-46F5-BEFE-82561E030E4F}">
      <text>
        <r>
          <rPr>
            <b/>
            <sz val="9"/>
            <color indexed="81"/>
            <rFont val="Tahoma"/>
            <family val="2"/>
          </rPr>
          <t>Activar opción para seguridad</t>
        </r>
      </text>
    </comment>
  </commentList>
</comments>
</file>

<file path=xl/sharedStrings.xml><?xml version="1.0" encoding="utf-8"?>
<sst xmlns="http://schemas.openxmlformats.org/spreadsheetml/2006/main" count="3100" uniqueCount="429">
  <si>
    <t>Analisis Costos y SGE</t>
  </si>
  <si>
    <t>SAP</t>
  </si>
  <si>
    <t>Producto</t>
  </si>
  <si>
    <t>peso kg.</t>
  </si>
  <si>
    <t>ACABADO</t>
  </si>
  <si>
    <t>CercaSolu</t>
  </si>
  <si>
    <t>Mallero</t>
  </si>
  <si>
    <t>Distribuidor</t>
  </si>
  <si>
    <t>Mayorista</t>
  </si>
  <si>
    <t>Franquicia</t>
  </si>
  <si>
    <t>Detallista</t>
  </si>
  <si>
    <t>PVS</t>
  </si>
  <si>
    <t>COSTOS</t>
  </si>
  <si>
    <t>$COST/Ton</t>
  </si>
  <si>
    <t>%_al PB</t>
  </si>
  <si>
    <t>PB</t>
  </si>
  <si>
    <t>PRECIO
CercaSolucion</t>
  </si>
  <si>
    <t>SGE
Cerca Solucion</t>
  </si>
  <si>
    <t>CERCAS PRO INTRADOMICILIAL</t>
  </si>
  <si>
    <t>s</t>
  </si>
  <si>
    <t>Pro Intradom 1,25x1,50m Verde</t>
  </si>
  <si>
    <t>VERDE</t>
  </si>
  <si>
    <t>Pro Intradom Kit Poste 1.70 Verde</t>
  </si>
  <si>
    <t>Pro Intradom Kit Puerta Verde</t>
  </si>
  <si>
    <t>PORTON VERDE</t>
  </si>
  <si>
    <t>Pro Intradom Set Tapa 6Pack Verde</t>
  </si>
  <si>
    <t>ACC VERDE</t>
  </si>
  <si>
    <t>Pro Intradom Set Abrazadera 6Pack Verde</t>
  </si>
  <si>
    <t>Pro Intradom Tapa 1-1/4" Verde</t>
  </si>
  <si>
    <t>Pro Intradom Abrazadera Verde</t>
  </si>
  <si>
    <t>CERCAS PRO URBANA</t>
  </si>
  <si>
    <t>%_Al PVS</t>
  </si>
  <si>
    <t>CercasPro Urb 2.08x2.50m Verde</t>
  </si>
  <si>
    <t>PostePro Urb 60x40x1,25x2.60m  Plinto/Verde</t>
  </si>
  <si>
    <t xml:space="preserve">ProTapa Plastica Gris 60x40mm </t>
  </si>
  <si>
    <t>ACCESORIO</t>
  </si>
  <si>
    <t>Fijacion Urb 37x29x7x2,5 P1/4 Verde</t>
  </si>
  <si>
    <t>Perno coche 1/4"X2 1/2" INOX 316 CHN</t>
  </si>
  <si>
    <t xml:space="preserve">Perno coche 1/4"X3" INOX 316 CHN </t>
  </si>
  <si>
    <t>Tuerca Seg.Emb.Autor.INOX 1/4 X19mm</t>
  </si>
  <si>
    <t xml:space="preserve">Brazo puas Urb inclinado 60x40x1,5x455 VER </t>
  </si>
  <si>
    <t>CERCAS PRO PERIMETRAL - PANELES / POSTES / ACCESORIOS</t>
  </si>
  <si>
    <t>CercasPro 1.11x2.50m  Verde</t>
  </si>
  <si>
    <t>CercasPro 2,08x2.50m  Verde</t>
  </si>
  <si>
    <t>CercasPro 2.40x2.50m  Verde</t>
  </si>
  <si>
    <t>PostePro 60x60x1.5x1.16m PLACA/VER</t>
  </si>
  <si>
    <t>PostePro 60x60x1.5x1.60m PLINTO/VER</t>
  </si>
  <si>
    <t>PostePro 60x60x1.5x2.13m PLACA/VER</t>
  </si>
  <si>
    <t>PostePro 60x60x1.5x2.60m PLINTO/VER</t>
  </si>
  <si>
    <t>PostePro 75x75x2.0x2.45m PLACA/VER - EC</t>
  </si>
  <si>
    <t>PostePro 75x75x2.0x3.00m PLINTO/VER</t>
  </si>
  <si>
    <t>PostePro 75x75x2.0x3.70m PLINTO/VER</t>
  </si>
  <si>
    <t>PostePro 100x100x2.0x5.00m PLINTO/VER</t>
  </si>
  <si>
    <t>Brazo Esq 60x60 Verde</t>
  </si>
  <si>
    <t>Brazo 45° 60x60 VER</t>
  </si>
  <si>
    <t>Brazo Puas 75x75 Verde</t>
  </si>
  <si>
    <t>Fijación p/perno 1/4" Verde</t>
  </si>
  <si>
    <t>Fijación Jumbo</t>
  </si>
  <si>
    <t>ProTapa plástica 60x60mm</t>
  </si>
  <si>
    <t>Perno coche 1/4"X4" INOX 316 CHN</t>
  </si>
  <si>
    <t>Perno coche 1/4"X5" INOX 316 CHN</t>
  </si>
  <si>
    <t>Perno de anclaje 1/2x4''</t>
  </si>
  <si>
    <t>SPRAY VERDE 077 SEYER</t>
  </si>
  <si>
    <t>SPRAY GALV FRIO</t>
  </si>
  <si>
    <t>CERCAS PRO PERIMETRAL - PUERTAS / PORTONES / CERRADURAS</t>
  </si>
  <si>
    <t>ProPUERTA(1H) 1.11x1m BATIENT/VER DER</t>
  </si>
  <si>
    <t>ProPUERTA(1H) 1.11x1m BATIENT/VER IZQ</t>
  </si>
  <si>
    <t>ProKit Puerta (1H) Der 2,08x1,0 m BATIENTE/VE</t>
  </si>
  <si>
    <t>ProKit Puerta (1H) Izq 2,08x1,0 m BATIENTE/VE</t>
  </si>
  <si>
    <t>ProKit Portón (2H) 2,08x2,0 m BATIENTE/VE</t>
  </si>
  <si>
    <t>ProKit Portón (2H) 2,08x3,0 m BATIENTE/VE</t>
  </si>
  <si>
    <t>ProKit Portón (2H) 2,08x4,0 m BATIENTE/VE</t>
  </si>
  <si>
    <t>ProKit Portón (2H) 2,08x5,0 m BATIENTE/VE</t>
  </si>
  <si>
    <t>ProKit Portón (2H) 2,08x6,0 m BATIENTE/VE</t>
  </si>
  <si>
    <t>ProKit Portón (2H) 2,08x8,0 m BATIENTE/VE</t>
  </si>
  <si>
    <t>ProKit Porton (1H) Der 2,08x6,0 m CORREDIZ/VE</t>
  </si>
  <si>
    <t>ProKit Porton (1H) Izq 2,08x6,0 m CORREDIZ/VE</t>
  </si>
  <si>
    <t>Cerradura Locinox plástica</t>
  </si>
  <si>
    <t>Cerradura Locinox 40/50/60mm</t>
  </si>
  <si>
    <t>Guarnición Locinox 60x60</t>
  </si>
  <si>
    <t>Cerradura para puerta corredera</t>
  </si>
  <si>
    <t>Guarnición portón corredera</t>
  </si>
  <si>
    <t>Picaporte Locinox Alum/Portón</t>
  </si>
  <si>
    <t>Base para Picaporte</t>
  </si>
  <si>
    <t>Bisagra Locinox Puerta (Par)</t>
  </si>
  <si>
    <t>Bisagra Locinox Galv 180</t>
  </si>
  <si>
    <t>CERCAS PRO MAXIMA SEGURIDAD</t>
  </si>
  <si>
    <t>Pro Max Seguridad 2,10x2,4m GRIS</t>
  </si>
  <si>
    <t>GRIS</t>
  </si>
  <si>
    <t>Pro Max Seguridad 2,45x2,4m GRIS</t>
  </si>
  <si>
    <t>Pro Max Seguridad 3,00x2,4m GRIS</t>
  </si>
  <si>
    <t>Pro Max Seguridad Kit Poste 100x50x2 2,60m GRIS</t>
  </si>
  <si>
    <t>Pro Max Seguridad Kit Poste 100x50x2 3,00m GRIS</t>
  </si>
  <si>
    <t>Pro Max Seguridad Kit Poste 100x50x2 3,60m GRIS</t>
  </si>
  <si>
    <t>Pro Max Seguridad Tapa PVC Gris 100x50x2 Bekaert</t>
  </si>
  <si>
    <t>ACC GRIS</t>
  </si>
  <si>
    <t>Pro Max Seguridad Fijación 40x40x11x3 paso 12,7 mm GRIS</t>
  </si>
  <si>
    <t>CERCASPRO GARDEN DESING 720X652 VER</t>
  </si>
  <si>
    <t>CATEGORIAS</t>
  </si>
  <si>
    <t>TIPO</t>
  </si>
  <si>
    <t>PERIMETRAL</t>
  </si>
  <si>
    <t>URBANA</t>
  </si>
  <si>
    <t>INTRADOMICILIARIA</t>
  </si>
  <si>
    <t>INGRESAR DATOS DEL CERRAMIENTO</t>
  </si>
  <si>
    <t>Longitud (m):</t>
  </si>
  <si>
    <t>Categoría:</t>
  </si>
  <si>
    <t>Placa:</t>
  </si>
  <si>
    <t>Púas</t>
  </si>
  <si>
    <t>Inclinación del Terreno (%)</t>
  </si>
  <si>
    <t>Altura:</t>
  </si>
  <si>
    <t>Color:</t>
  </si>
  <si>
    <t>INGRESAR DATOS DEL CLIENTE</t>
  </si>
  <si>
    <t>Nombre:</t>
  </si>
  <si>
    <t>Dirección:</t>
  </si>
  <si>
    <t>Ciudad:</t>
  </si>
  <si>
    <t>Ubicación del Proyecto:</t>
  </si>
  <si>
    <t>Telefono:</t>
  </si>
  <si>
    <t>Correo Electronico:</t>
  </si>
  <si>
    <t>CLIENTE</t>
  </si>
  <si>
    <t>sangolqui</t>
  </si>
  <si>
    <t>RECUBRIMIENTO: DUPLEX ( GALVANIZADO + POLIESTER )</t>
  </si>
  <si>
    <t>DATOS PARA PROCESAR</t>
  </si>
  <si>
    <t>CATEGORIA</t>
  </si>
  <si>
    <t>PuertaS (#):</t>
  </si>
  <si>
    <t>Escalonado:</t>
  </si>
  <si>
    <t>SEGURIDAD</t>
  </si>
  <si>
    <t>MAXIMA SEGURIDAD</t>
  </si>
  <si>
    <t>S</t>
  </si>
  <si>
    <t>ALTURA</t>
  </si>
  <si>
    <t>Púas:</t>
  </si>
  <si>
    <t>Altura (m):</t>
  </si>
  <si>
    <t>PESO</t>
  </si>
  <si>
    <t xml:space="preserve"># de tapas: </t>
  </si>
  <si>
    <t xml:space="preserve"># de fijaciones: </t>
  </si>
  <si>
    <t xml:space="preserve"># de pernos: </t>
  </si>
  <si>
    <t># Brazos:</t>
  </si>
  <si>
    <t>Alambre de púas:</t>
  </si>
  <si>
    <t xml:space="preserve"># de chicotes: </t>
  </si>
  <si>
    <t>Longitud total (m) :</t>
  </si>
  <si>
    <t>EMPOTRADO</t>
  </si>
  <si>
    <t>longitud poste</t>
  </si>
  <si>
    <t>peso poste</t>
  </si>
  <si>
    <t># postes</t>
  </si>
  <si>
    <t>N</t>
  </si>
  <si>
    <t xml:space="preserve">Ideal Alambrec S.A.               </t>
  </si>
  <si>
    <t xml:space="preserve">R.U.C.: 1790050947001     </t>
  </si>
  <si>
    <t>CONTRIBUYENTE ESPECIAL No. 5368</t>
  </si>
  <si>
    <t>Planta Quito: Calle S60 No. E3-423 y calle E3E</t>
  </si>
  <si>
    <t>REFERENCIA:</t>
  </si>
  <si>
    <t xml:space="preserve">Guayaquil: Av. Velasco Ibarra No. 101 y Calle Primera  S.O. Bellavista  (4)220-4109       </t>
  </si>
  <si>
    <t xml:space="preserve">Cuenca: Av. Pablo del Lago No. 2-13 y Cuicocha  (7)408-5669 </t>
  </si>
  <si>
    <t xml:space="preserve">                                                                            </t>
  </si>
  <si>
    <t xml:space="preserve">                                                                                                                       </t>
  </si>
  <si>
    <t>Estimados Señores:</t>
  </si>
  <si>
    <t>SITIO DE OBRA:</t>
  </si>
  <si>
    <t>FECHA:</t>
  </si>
  <si>
    <t>TELEFONO:</t>
  </si>
  <si>
    <t>E-mail:</t>
  </si>
  <si>
    <t>Por medio de la presente y de acuerdo a la información por Ustedes proporcionada, nos es grato poner a su consideración nuestra oferta por:</t>
  </si>
  <si>
    <t>CÓDIGO</t>
  </si>
  <si>
    <t>Cantidad</t>
  </si>
  <si>
    <t>Descripción</t>
  </si>
  <si>
    <t>Precio Unitario</t>
  </si>
  <si>
    <t>Valor total</t>
  </si>
  <si>
    <t/>
  </si>
  <si>
    <t xml:space="preserve">Peso neto Aprox : </t>
  </si>
  <si>
    <t>Subtotal:</t>
  </si>
  <si>
    <t>Dscto</t>
  </si>
  <si>
    <t>Subtotal</t>
  </si>
  <si>
    <t>IVA 12%</t>
  </si>
  <si>
    <t>Total</t>
  </si>
  <si>
    <t xml:space="preserve">Observaciones:  </t>
  </si>
  <si>
    <t>Duración de la oferta: 15 dias.</t>
  </si>
  <si>
    <t>Atentamente,</t>
  </si>
  <si>
    <t>TELEFONO: 593 02 2978100</t>
  </si>
  <si>
    <t>Empresa:</t>
  </si>
  <si>
    <t>Quito</t>
  </si>
  <si>
    <t>Fecha:</t>
  </si>
  <si>
    <t>Quito Norte</t>
  </si>
  <si>
    <t xml:space="preserve"># de tramos: </t>
  </si>
  <si>
    <t>PLACA</t>
  </si>
  <si>
    <t>sección poste</t>
  </si>
  <si>
    <t>Peso Kg</t>
  </si>
  <si>
    <t>Altura</t>
  </si>
  <si>
    <t>PVS $</t>
  </si>
  <si>
    <t>DETALLE</t>
  </si>
  <si>
    <t>Malla 1</t>
  </si>
  <si>
    <t>Malla 2</t>
  </si>
  <si>
    <t>Precio Categoria</t>
  </si>
  <si>
    <t>Categoria</t>
  </si>
  <si>
    <t>%</t>
  </si>
  <si>
    <t>Seccion</t>
  </si>
  <si>
    <t>Long</t>
  </si>
  <si>
    <t>60 x 60</t>
  </si>
  <si>
    <t>75x75</t>
  </si>
  <si>
    <t>100x100</t>
  </si>
  <si>
    <t>CON PLINTO</t>
  </si>
  <si>
    <t>MALLA VERDE</t>
  </si>
  <si>
    <t>Empotramiento</t>
  </si>
  <si>
    <t>FIJACION</t>
  </si>
  <si>
    <t xml:space="preserve"># </t>
  </si>
  <si>
    <t>Perno INOX 1/4"</t>
  </si>
  <si>
    <t>Tuerca esp.</t>
  </si>
  <si>
    <t>Perno de anclaje</t>
  </si>
  <si>
    <t>Tapa</t>
  </si>
  <si>
    <t>TUERCA</t>
  </si>
  <si>
    <t>PERNO ANCLAJE</t>
  </si>
  <si>
    <t>PERNO INOX</t>
  </si>
  <si>
    <t>TAPA</t>
  </si>
  <si>
    <t>LARGO</t>
  </si>
  <si>
    <t>Brazo</t>
  </si>
  <si>
    <t>PUAS</t>
  </si>
  <si>
    <t>PESO TOTAL</t>
  </si>
  <si>
    <t>Spray verde</t>
  </si>
  <si>
    <t>Spray Galvanizado</t>
  </si>
  <si>
    <t>IDEAL ALAMBREC S.A</t>
  </si>
  <si>
    <t>COTIZADOR CERCASPRO  RESIDENCIAL PERIMETRAL</t>
  </si>
  <si>
    <t>COTIZADOR CERCASPRO  INTRADOMICILIARIA</t>
  </si>
  <si>
    <t>Precio Base $</t>
  </si>
  <si>
    <t>% Descuento livianos</t>
  </si>
  <si>
    <t>% Descuento Pesados</t>
  </si>
  <si>
    <t>Varilla 7.5 mm x 12 m</t>
  </si>
  <si>
    <t>OTROS - LIVIANOS</t>
  </si>
  <si>
    <t>Motto  (rojo) 200</t>
  </si>
  <si>
    <t>Motto  (azul) 300</t>
  </si>
  <si>
    <t>Motto  (rojo) 400</t>
  </si>
  <si>
    <t>Motto  (rojo) 500</t>
  </si>
  <si>
    <t>Motto  (rojo) 100</t>
  </si>
  <si>
    <t>Motto</t>
  </si>
  <si>
    <t>CALCULO ALAMBRE PUAS</t>
  </si>
  <si>
    <t>Rollos</t>
  </si>
  <si>
    <t>TOTAL:</t>
  </si>
  <si>
    <t>Códigos seleccionados</t>
  </si>
  <si>
    <t>CODIGO</t>
  </si>
  <si>
    <t>CANTIDAD</t>
  </si>
  <si>
    <t>METROS</t>
  </si>
  <si>
    <t>Terreno Escalonado (%)</t>
  </si>
  <si>
    <t>INCLINACION</t>
  </si>
  <si>
    <t>60 x 40</t>
  </si>
  <si>
    <t>POSTE</t>
  </si>
  <si>
    <t>PUERTA</t>
  </si>
  <si>
    <t>ABRAZADERAS</t>
  </si>
  <si>
    <t>TAPAS</t>
  </si>
  <si>
    <t>COTIZADOR CERCASPRO  URBANA</t>
  </si>
  <si>
    <t>MALLA</t>
  </si>
  <si>
    <t>100 X 50</t>
  </si>
  <si>
    <t>PERNO</t>
  </si>
  <si>
    <t>TUERCA AUTOROMPIENTE</t>
  </si>
  <si>
    <t>COTIZADOR CERCASPRO  SEGURIDAD</t>
  </si>
  <si>
    <t>NOMBRE ASESOR</t>
  </si>
  <si>
    <t xml:space="preserve">CORREO </t>
  </si>
  <si>
    <t>TELEFONO</t>
  </si>
  <si>
    <t>ASESOR:</t>
  </si>
  <si>
    <t>LIVIANOS</t>
  </si>
  <si>
    <t>PESADOS</t>
  </si>
  <si>
    <t>MIN</t>
  </si>
  <si>
    <t>MAX</t>
  </si>
  <si>
    <t>FAMILIA</t>
  </si>
  <si>
    <t>DESCUENTO</t>
  </si>
  <si>
    <t>Materiales Adicionales</t>
  </si>
  <si>
    <t>Opcionales</t>
  </si>
  <si>
    <t>Puertas - Portones - Cerraduras</t>
  </si>
  <si>
    <t>Armas Lorena</t>
  </si>
  <si>
    <t>Gersón Solórzano</t>
  </si>
  <si>
    <t>Cordero Lauro</t>
  </si>
  <si>
    <t>Guerron Ana</t>
  </si>
  <si>
    <t>Gutierrez Diego</t>
  </si>
  <si>
    <t>Jacome Alba</t>
  </si>
  <si>
    <t>Jordan Elvis</t>
  </si>
  <si>
    <t>Lascano Alejandra</t>
  </si>
  <si>
    <t>Maiguashca Pablo</t>
  </si>
  <si>
    <t>Marquez Freddy</t>
  </si>
  <si>
    <t>Naranjo Melanie</t>
  </si>
  <si>
    <t>Palacio Jose</t>
  </si>
  <si>
    <t>Perez Fabian</t>
  </si>
  <si>
    <t>Proano Jose</t>
  </si>
  <si>
    <t>Rodas Vicente</t>
  </si>
  <si>
    <t>Ruano Fernando</t>
  </si>
  <si>
    <t>Ruiz Edi</t>
  </si>
  <si>
    <t>Salcedo Valeria</t>
  </si>
  <si>
    <t>Sotomayor Veronica</t>
  </si>
  <si>
    <t>Ulquiango Fernando</t>
  </si>
  <si>
    <t>Vera Diana</t>
  </si>
  <si>
    <t>Villacres Cristian</t>
  </si>
  <si>
    <t>lorena.armas@bekaert.com</t>
  </si>
  <si>
    <t>lauro.cordero@bekaert.com</t>
  </si>
  <si>
    <t>ana.guerron@bekaert.com</t>
  </si>
  <si>
    <t>diego.gutierrez@bekaert.com</t>
  </si>
  <si>
    <t>alba.jacome@bekaert.com</t>
  </si>
  <si>
    <t>elvis.jordan@bekaert.com</t>
  </si>
  <si>
    <t>alejandra.lascano@bekaert.com</t>
  </si>
  <si>
    <t>pablo.maiguashca@bekaert.com</t>
  </si>
  <si>
    <t>freddy.marquez@bekaert.com</t>
  </si>
  <si>
    <t>melanie.naranjo@bekaert.com</t>
  </si>
  <si>
    <t>jose.palacio@bekaert.com</t>
  </si>
  <si>
    <t>fabian.perez@bekaert.com</t>
  </si>
  <si>
    <t>jose.proano@bekaert.com</t>
  </si>
  <si>
    <t>vicente.rodas@bekaert.com</t>
  </si>
  <si>
    <t>fernando.ruano@bekaert.com</t>
  </si>
  <si>
    <t>edi.ruiz@bekaert.com</t>
  </si>
  <si>
    <t>valeria.salcedo@bekaert.com</t>
  </si>
  <si>
    <t>veronica.sotomayor@bekaert.com</t>
  </si>
  <si>
    <t>fernando.ulquiango@bekaert.com</t>
  </si>
  <si>
    <t>diana.vera@bekaert.com</t>
  </si>
  <si>
    <t>cristian.villacres@bekaert.com</t>
  </si>
  <si>
    <t>CORREO:</t>
  </si>
  <si>
    <t>+593 99 830 6096</t>
  </si>
  <si>
    <t>+593 99 328 4046</t>
  </si>
  <si>
    <t>+593 96 309 6683</t>
  </si>
  <si>
    <t>+593 98 688 4012</t>
  </si>
  <si>
    <t>+593 98 556 7313</t>
  </si>
  <si>
    <t>+593 99 332 3052</t>
  </si>
  <si>
    <t>+593 98 373 2912</t>
  </si>
  <si>
    <t>+593 98 858 3081</t>
  </si>
  <si>
    <t>+593 98 535 0069</t>
  </si>
  <si>
    <t>+593 99 975 9910</t>
  </si>
  <si>
    <t>+593 98 039 8589</t>
  </si>
  <si>
    <t>+593 99 235 4938</t>
  </si>
  <si>
    <t>+593 99 332 3444</t>
  </si>
  <si>
    <t>+593 99 704 9723</t>
  </si>
  <si>
    <t>+593 99 415 5355</t>
  </si>
  <si>
    <t>+593 98 533 0163</t>
  </si>
  <si>
    <t>+593 95 869 2639</t>
  </si>
  <si>
    <t>+593 95 893 9435</t>
  </si>
  <si>
    <t>+593 98 810 7204</t>
  </si>
  <si>
    <t>+593 98 336 4392</t>
  </si>
  <si>
    <t>+593 98 723 2981</t>
  </si>
  <si>
    <t>gerson.solorzano@bekaert.com</t>
  </si>
  <si>
    <t>PARAMETROS DE DISEÑO</t>
  </si>
  <si>
    <t>TIPOS</t>
  </si>
  <si>
    <t xml:space="preserve">COLOR </t>
  </si>
  <si>
    <t>ALTURA (h) M</t>
  </si>
  <si>
    <t>INSTALACION</t>
  </si>
  <si>
    <t>LONGITUD INCLINADA</t>
  </si>
  <si>
    <t>PLINTO</t>
  </si>
  <si>
    <t>SI</t>
  </si>
  <si>
    <t>NO</t>
  </si>
  <si>
    <t xml:space="preserve">CONCERTINA </t>
  </si>
  <si>
    <t>ELECTRICA</t>
  </si>
  <si>
    <t>SOPORTE</t>
  </si>
  <si>
    <t xml:space="preserve">SI </t>
  </si>
  <si>
    <t>NOTA:</t>
  </si>
  <si>
    <t>La informacion se calcula en funcion de la utlima lista de precios aplicada.</t>
  </si>
  <si>
    <t>El precio esta definido para la categoria PVS</t>
  </si>
  <si>
    <t>Precios no incluyen IVA</t>
  </si>
  <si>
    <t>Pro Intradom 1,25x0,75m Verde</t>
  </si>
  <si>
    <t>ProTapa poste 75x75</t>
  </si>
  <si>
    <t>ProTapa poste 100x100</t>
  </si>
  <si>
    <t xml:space="preserve">Adicionales: </t>
  </si>
  <si>
    <t>Puertas / Portones:</t>
  </si>
  <si>
    <t>ADICIONALES</t>
  </si>
  <si>
    <t>PUERTAS PORTONES</t>
  </si>
  <si>
    <t>XXXXXXX</t>
  </si>
  <si>
    <t>123@gmail.com</t>
  </si>
  <si>
    <t>+593 993363971</t>
  </si>
  <si>
    <t>COSTOS REFERENCIALES POR METRO DE CERRAMIENTO</t>
  </si>
  <si>
    <t>TIPOS DE 
CERCAS PRO</t>
  </si>
  <si>
    <r>
      <rPr>
        <b/>
        <sz val="18"/>
        <color theme="1"/>
        <rFont val="Calibri"/>
        <family val="2"/>
        <scheme val="minor"/>
      </rPr>
      <t xml:space="preserve">TIPO POSTE </t>
    </r>
    <r>
      <rPr>
        <b/>
        <sz val="11"/>
        <color theme="1"/>
        <rFont val="Calibri"/>
        <family val="2"/>
        <scheme val="minor"/>
      </rPr>
      <t xml:space="preserve">
SEGÚN EL SUSTRARO DONDE SE INSTALA</t>
    </r>
  </si>
  <si>
    <r>
      <rPr>
        <b/>
        <sz val="18"/>
        <color theme="1"/>
        <rFont val="Calibri"/>
        <family val="2"/>
        <scheme val="minor"/>
      </rPr>
      <t>POSTE PLINTO</t>
    </r>
    <r>
      <rPr>
        <b/>
        <sz val="11"/>
        <color theme="1"/>
        <rFont val="Calibri"/>
        <family val="2"/>
        <scheme val="minor"/>
      </rPr>
      <t xml:space="preserve">
EMPOTRADO
SUELO</t>
    </r>
  </si>
  <si>
    <r>
      <rPr>
        <b/>
        <sz val="18"/>
        <color theme="1"/>
        <rFont val="Calibri"/>
        <family val="2"/>
        <scheme val="minor"/>
      </rPr>
      <t>POSTE PLACA</t>
    </r>
    <r>
      <rPr>
        <b/>
        <sz val="11"/>
        <color theme="1"/>
        <rFont val="Calibri"/>
        <family val="2"/>
        <scheme val="minor"/>
      </rPr>
      <t xml:space="preserve">
ANCLADO 
PISO DE HORMIGON</t>
    </r>
  </si>
  <si>
    <r>
      <rPr>
        <b/>
        <sz val="18"/>
        <color theme="1"/>
        <rFont val="Calibri"/>
        <family val="2"/>
        <scheme val="minor"/>
      </rPr>
      <t>PORCENTAJE</t>
    </r>
    <r>
      <rPr>
        <b/>
        <sz val="14"/>
        <color theme="1"/>
        <rFont val="Calibri"/>
        <family val="2"/>
        <scheme val="minor"/>
      </rPr>
      <t xml:space="preserve"> </t>
    </r>
    <r>
      <rPr>
        <b/>
        <sz val="11"/>
        <color theme="1"/>
        <rFont val="Calibri"/>
        <family val="2"/>
        <scheme val="minor"/>
      </rPr>
      <t xml:space="preserve">
DE LONGITUD DE TERRENO INCLINADO</t>
    </r>
  </si>
  <si>
    <r>
      <t xml:space="preserve">0% </t>
    </r>
    <r>
      <rPr>
        <b/>
        <sz val="14"/>
        <color theme="1"/>
        <rFont val="Calibri"/>
        <family val="2"/>
        <scheme val="minor"/>
      </rPr>
      <t>de metros Inclinados</t>
    </r>
  </si>
  <si>
    <r>
      <t>50%</t>
    </r>
    <r>
      <rPr>
        <b/>
        <sz val="14"/>
        <color theme="1"/>
        <rFont val="Calibri"/>
        <family val="2"/>
        <scheme val="minor"/>
      </rPr>
      <t xml:space="preserve"> de metros Inclinados</t>
    </r>
  </si>
  <si>
    <r>
      <t xml:space="preserve">100% </t>
    </r>
    <r>
      <rPr>
        <b/>
        <sz val="14"/>
        <color theme="1"/>
        <rFont val="Calibri"/>
        <family val="2"/>
        <scheme val="minor"/>
      </rPr>
      <t>de metros Inclinados</t>
    </r>
  </si>
  <si>
    <r>
      <rPr>
        <b/>
        <sz val="18"/>
        <color theme="1"/>
        <rFont val="Calibri"/>
        <family val="2"/>
        <scheme val="minor"/>
      </rPr>
      <t>INSTALACION</t>
    </r>
    <r>
      <rPr>
        <b/>
        <sz val="16"/>
        <color theme="1"/>
        <rFont val="Calibri"/>
        <family val="2"/>
        <scheme val="minor"/>
      </rPr>
      <t xml:space="preserve">
CON ALAMBRE DE PUAS</t>
    </r>
  </si>
  <si>
    <t>Con Brazo</t>
  </si>
  <si>
    <t>Con Tapa</t>
  </si>
  <si>
    <t xml:space="preserve">PERIMETRAL VERDE h=1,11 m </t>
  </si>
  <si>
    <t xml:space="preserve">PERIMETRAL VERDE h=2,08 m </t>
  </si>
  <si>
    <t xml:space="preserve">PERIMETRAL VERDE h=2,40 m </t>
  </si>
  <si>
    <t xml:space="preserve">PERIMETRAL VERDE h=3,10 m </t>
  </si>
  <si>
    <t xml:space="preserve">PERIMETRAL VERDE h=4,10 m </t>
  </si>
  <si>
    <t xml:space="preserve">URBANA VERDE h=1,11 m </t>
  </si>
  <si>
    <t xml:space="preserve">URBANA VERDE h=2,08 m </t>
  </si>
  <si>
    <t xml:space="preserve">URBANA VERDE h=2,40 m </t>
  </si>
  <si>
    <t xml:space="preserve">URBANA VERDE h=3,10 m </t>
  </si>
  <si>
    <t xml:space="preserve">URBANA VERDE h=4,10 m </t>
  </si>
  <si>
    <t xml:space="preserve">TIPO </t>
  </si>
  <si>
    <t>mto</t>
  </si>
  <si>
    <t>CERCAS FORT</t>
  </si>
  <si>
    <t xml:space="preserve">      diámetro ø</t>
  </si>
  <si>
    <t>VIP</t>
  </si>
  <si>
    <t>PRECIO BASE</t>
  </si>
  <si>
    <t>CERCASFORT PERIMETRAL (10X10) 6.25x2.4m</t>
  </si>
  <si>
    <t>6 mm</t>
  </si>
  <si>
    <t>Puertas - Portones - Cerraduras - Otros</t>
  </si>
  <si>
    <t>NA</t>
  </si>
  <si>
    <t>PARAMETROS:</t>
  </si>
  <si>
    <t xml:space="preserve">IVA </t>
  </si>
  <si>
    <t>IVA:</t>
  </si>
  <si>
    <t>60 X 60</t>
  </si>
  <si>
    <t># Paneles</t>
  </si>
  <si>
    <t>CALCULO CON LONG. 27 m</t>
  </si>
  <si>
    <t>PRECIOS BASADOS EN RELACION A PVS</t>
  </si>
  <si>
    <t>Mallero- VIP</t>
  </si>
  <si>
    <t>CERCAS PRO RESIDENCIAL PVC</t>
  </si>
  <si>
    <t>CERCASPRO RESIDENCIAL 1.11x2.50 Galv PVC</t>
  </si>
  <si>
    <t>CERCASPRO RESIDENCIAL 2.08x2.50 Galv PVC</t>
  </si>
  <si>
    <t>CERCASPRO RESIDENCIAL 2.40x2.50 Galv PVC</t>
  </si>
  <si>
    <t>l</t>
  </si>
  <si>
    <t>OBS</t>
  </si>
  <si>
    <t>No tiene modulo de cotización.</t>
  </si>
  <si>
    <t>larmas@somosgrupoag.com</t>
  </si>
  <si>
    <t>gsolorzano@somosgrupoag.com</t>
  </si>
  <si>
    <t>lcordero@somosgrupoag.com</t>
  </si>
  <si>
    <t>aguerron@somosgrupoag.com</t>
  </si>
  <si>
    <t>dgutierrez@somosgrupoag.com</t>
  </si>
  <si>
    <t>+593 99 336 3971</t>
  </si>
  <si>
    <t>ajacome@somosgrupoag.com</t>
  </si>
  <si>
    <t>ejordan@somosgrupoag.com</t>
  </si>
  <si>
    <t>fmarquez@somosgrupoag.com</t>
  </si>
  <si>
    <t>mnaranjo@somosgrupoag.com</t>
  </si>
  <si>
    <t>fperez@somosgrupoag.com</t>
  </si>
  <si>
    <t>jproano@somosgrupoag.com</t>
  </si>
  <si>
    <t>vrodas@somosgrupoag.com</t>
  </si>
  <si>
    <t>fruano@somosgrupoag.com</t>
  </si>
  <si>
    <t>eruiz@somosgrupoag.com</t>
  </si>
  <si>
    <t>vsalcedo@somosgrupoag.com</t>
  </si>
  <si>
    <t>fulquiango@somosgrupoag.com</t>
  </si>
  <si>
    <t>cvillacres@somosgrupoag.com</t>
  </si>
  <si>
    <t>Briceño Wilmer</t>
  </si>
  <si>
    <t>wbriceno@somosgrupoag.com</t>
  </si>
  <si>
    <t>+593 99 585 2327</t>
  </si>
  <si>
    <t>Gonzalez Ivonne</t>
  </si>
  <si>
    <t>igonzale@somosgrupoag.com</t>
  </si>
  <si>
    <t>´+593 99 848 0567</t>
  </si>
  <si>
    <t>LISTA DE PRECIOS 
VIGENTE  AGOSTO DE 2026</t>
  </si>
  <si>
    <t>eqwqe</t>
  </si>
  <si>
    <t>2222222adas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</si>
</sst>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quot;$&quot;\-#,##0.00"/>
    <numFmt numFmtId="165" formatCode="_ &quot;$&quot;* #,##0.00_ ;_ &quot;$&quot;* \-#,##0.00_ ;_ &quot;$&quot;* &quot;-&quot;??_ ;_ @_ "/>
    <numFmt numFmtId="166" formatCode="_ * #,##0.00_ ;_ * \-#,##0.00_ ;_ * &quot;-&quot;??_ ;_ @_ "/>
    <numFmt numFmtId="167" formatCode="0.000%"/>
    <numFmt numFmtId="168" formatCode="&quot;$&quot;#,##0.00"/>
    <numFmt numFmtId="169" formatCode="&quot;$&quot;#,##0"/>
    <numFmt numFmtId="170" formatCode="&quot;$&quot;\ ###,###.00"/>
    <numFmt numFmtId="171" formatCode="\ 0\ \ &quot;un&quot;"/>
    <numFmt numFmtId="172" formatCode="&quot;$&quot;\ \ 0.00"/>
    <numFmt numFmtId="173" formatCode="0\ &quot; rollos&quot;"/>
    <numFmt numFmtId="174" formatCode="#,##0&quot; ml&quot;"/>
    <numFmt numFmtId="175" formatCode="\ 0.00\ \ &quot;un&quot;"/>
    <numFmt numFmtId="176" formatCode="\ #,##0.00\ \ &quot; Kg&quot;"/>
    <numFmt numFmtId="177" formatCode="_ &quot;$&quot;\ * #,##0.00_ ;_ &quot;$&quot;\ * \-#,##0.00_ ;_ &quot;$&quot;\ * &quot;-&quot;??_ ;_ @_ "/>
    <numFmt numFmtId="178" formatCode="#,##0.00000000"/>
    <numFmt numFmtId="179" formatCode="#,##0.00;[Red]#,##0.00"/>
    <numFmt numFmtId="180" formatCode="0.0"/>
    <numFmt numFmtId="181" formatCode="#,##0.00&quot; ml&quot;"/>
    <numFmt numFmtId="182" formatCode="_ * #,##0.0_ ;_ * \-#,##0.0_ ;_ * &quot;-&quot;??_ ;_ @_ "/>
  </numFmts>
  <fonts count="9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2"/>
      <color indexed="9"/>
      <name val="Arial"/>
      <family val="2"/>
    </font>
    <font>
      <sz val="8"/>
      <name val="Arial"/>
      <family val="2"/>
    </font>
    <font>
      <sz val="8"/>
      <color indexed="9"/>
      <name val="Arial"/>
      <family val="2"/>
    </font>
    <font>
      <b/>
      <sz val="8"/>
      <color indexed="9"/>
      <name val="Arial"/>
      <family val="2"/>
    </font>
    <font>
      <b/>
      <sz val="8"/>
      <color theme="3"/>
      <name val="Arial"/>
      <family val="2"/>
    </font>
    <font>
      <b/>
      <sz val="8"/>
      <color theme="0"/>
      <name val="Arial"/>
      <family val="2"/>
    </font>
    <font>
      <b/>
      <sz val="9"/>
      <color theme="1"/>
      <name val="Calibri"/>
      <family val="2"/>
      <scheme val="minor"/>
    </font>
    <font>
      <sz val="8"/>
      <color theme="1"/>
      <name val="Arial"/>
      <family val="2"/>
    </font>
    <font>
      <b/>
      <sz val="8"/>
      <color theme="1"/>
      <name val="Arial"/>
      <family val="2"/>
    </font>
    <font>
      <b/>
      <sz val="8"/>
      <color rgb="FFFF0000"/>
      <name val="Arial"/>
      <family val="2"/>
    </font>
    <font>
      <sz val="8"/>
      <color indexed="8"/>
      <name val="Arial"/>
      <family val="2"/>
    </font>
    <font>
      <b/>
      <sz val="8"/>
      <name val="Arial"/>
      <family val="2"/>
    </font>
    <font>
      <b/>
      <sz val="8"/>
      <color indexed="23"/>
      <name val="Arial"/>
      <family val="2"/>
    </font>
    <font>
      <b/>
      <sz val="11"/>
      <color rgb="FFFF0000"/>
      <name val="Calibri"/>
      <family val="2"/>
      <scheme val="minor"/>
    </font>
    <font>
      <b/>
      <sz val="8"/>
      <color theme="4" tint="-0.499984740745262"/>
      <name val="Arial"/>
      <family val="2"/>
    </font>
    <font>
      <b/>
      <sz val="8"/>
      <color theme="7" tint="-0.249977111117893"/>
      <name val="Arial"/>
      <family val="2"/>
    </font>
    <font>
      <b/>
      <sz val="8"/>
      <color rgb="FF00B050"/>
      <name val="Arial"/>
      <family val="2"/>
    </font>
    <font>
      <sz val="12"/>
      <color rgb="FF002060"/>
      <name val="Calibri"/>
      <family val="2"/>
      <scheme val="minor"/>
    </font>
    <font>
      <sz val="12"/>
      <color theme="1"/>
      <name val="Calibri"/>
      <family val="2"/>
      <scheme val="minor"/>
    </font>
    <font>
      <sz val="12"/>
      <name val="Arial"/>
      <family val="2"/>
    </font>
    <font>
      <b/>
      <sz val="14"/>
      <color theme="8" tint="-0.499984740745262"/>
      <name val="Cachet"/>
      <family val="2"/>
    </font>
    <font>
      <b/>
      <sz val="14"/>
      <color indexed="12"/>
      <name val="Cachet"/>
      <family val="2"/>
    </font>
    <font>
      <b/>
      <sz val="11"/>
      <name val="Arial"/>
      <family val="2"/>
    </font>
    <font>
      <sz val="10"/>
      <color indexed="8"/>
      <name val="Arial"/>
      <family val="2"/>
    </font>
    <font>
      <b/>
      <sz val="10"/>
      <name val="Arial"/>
      <family val="2"/>
    </font>
    <font>
      <b/>
      <sz val="9"/>
      <color indexed="62"/>
      <name val="Cachet"/>
      <family val="2"/>
    </font>
    <font>
      <sz val="9"/>
      <color indexed="8"/>
      <name val="Cachet"/>
      <family val="2"/>
    </font>
    <font>
      <sz val="9"/>
      <name val="Cachet"/>
      <family val="2"/>
    </font>
    <font>
      <sz val="12"/>
      <name val="Cachet"/>
      <family val="2"/>
    </font>
    <font>
      <sz val="9"/>
      <name val="Arial"/>
      <family val="2"/>
    </font>
    <font>
      <sz val="10"/>
      <name val="Tahoma"/>
      <family val="2"/>
    </font>
    <font>
      <b/>
      <sz val="10"/>
      <color indexed="9"/>
      <name val="Cachet"/>
      <family val="2"/>
    </font>
    <font>
      <sz val="10"/>
      <name val="Cachet"/>
      <family val="2"/>
    </font>
    <font>
      <sz val="10"/>
      <color rgb="FFFF0000"/>
      <name val="Arial"/>
      <family val="2"/>
    </font>
    <font>
      <sz val="10"/>
      <color indexed="8"/>
      <name val="Cachet"/>
      <family val="2"/>
    </font>
    <font>
      <b/>
      <sz val="10"/>
      <name val="Cachet"/>
      <family val="2"/>
    </font>
    <font>
      <b/>
      <sz val="10"/>
      <color indexed="8"/>
      <name val="Cachet"/>
      <family val="2"/>
    </font>
    <font>
      <b/>
      <sz val="10"/>
      <color indexed="8"/>
      <name val="Arial"/>
      <family val="2"/>
    </font>
    <font>
      <b/>
      <sz val="14"/>
      <color indexed="8"/>
      <name val="Arial"/>
      <family val="2"/>
    </font>
    <font>
      <b/>
      <sz val="12"/>
      <color rgb="FFFF0000"/>
      <name val="Cachet"/>
      <family val="2"/>
    </font>
    <font>
      <b/>
      <sz val="12"/>
      <color rgb="FFFF0000"/>
      <name val="Arial"/>
      <family val="2"/>
    </font>
    <font>
      <b/>
      <sz val="10"/>
      <color rgb="FFFF0000"/>
      <name val="Arial"/>
      <family val="2"/>
    </font>
    <font>
      <sz val="12"/>
      <color indexed="8"/>
      <name val="Cachet"/>
      <family val="2"/>
    </font>
    <font>
      <sz val="10"/>
      <color theme="0"/>
      <name val="Arial"/>
      <family val="2"/>
    </font>
    <font>
      <sz val="10"/>
      <name val="Cachet"/>
    </font>
    <font>
      <b/>
      <sz val="12"/>
      <name val="Cachet"/>
    </font>
    <font>
      <b/>
      <sz val="9"/>
      <color indexed="81"/>
      <name val="Tahoma"/>
      <family val="2"/>
    </font>
    <font>
      <u/>
      <sz val="11"/>
      <color theme="10"/>
      <name val="Calibri"/>
      <family val="2"/>
      <scheme val="minor"/>
    </font>
    <font>
      <sz val="11"/>
      <color theme="0"/>
      <name val="Calibri"/>
      <family val="2"/>
      <scheme val="minor"/>
    </font>
    <font>
      <sz val="10"/>
      <color rgb="FF000000"/>
      <name val="Arial"/>
      <family val="2"/>
    </font>
    <font>
      <sz val="10"/>
      <color theme="1"/>
      <name val="Arial"/>
      <family val="2"/>
    </font>
    <font>
      <sz val="10"/>
      <color theme="0"/>
      <name val="Cachet"/>
      <family val="2"/>
    </font>
    <font>
      <sz val="24"/>
      <color theme="4"/>
      <name val="Arial"/>
      <family val="2"/>
    </font>
    <font>
      <sz val="22"/>
      <color theme="4"/>
      <name val="Arial"/>
      <family val="2"/>
    </font>
    <font>
      <u/>
      <sz val="10"/>
      <color indexed="12"/>
      <name val="Arial"/>
      <family val="2"/>
    </font>
    <font>
      <b/>
      <sz val="10"/>
      <color indexed="23"/>
      <name val="Arial"/>
      <family val="2"/>
    </font>
    <font>
      <sz val="11"/>
      <color theme="1"/>
      <name val="Calibri"/>
      <family val="2"/>
    </font>
    <font>
      <b/>
      <sz val="36"/>
      <color theme="1"/>
      <name val="Calibri"/>
      <family val="2"/>
      <scheme val="minor"/>
    </font>
    <font>
      <b/>
      <sz val="22"/>
      <color theme="1"/>
      <name val="Calibri"/>
      <family val="2"/>
      <scheme val="minor"/>
    </font>
    <font>
      <b/>
      <sz val="18"/>
      <color theme="1"/>
      <name val="Calibri"/>
      <family val="2"/>
      <scheme val="minor"/>
    </font>
    <font>
      <b/>
      <sz val="14"/>
      <color theme="1"/>
      <name val="Calibri"/>
      <family val="2"/>
      <scheme val="minor"/>
    </font>
    <font>
      <b/>
      <sz val="16"/>
      <color theme="1"/>
      <name val="Calibri"/>
      <family val="2"/>
      <scheme val="minor"/>
    </font>
    <font>
      <b/>
      <sz val="20"/>
      <color theme="1"/>
      <name val="Calibri"/>
      <family val="2"/>
      <scheme val="minor"/>
    </font>
    <font>
      <b/>
      <sz val="12"/>
      <color theme="1"/>
      <name val="Calibri"/>
      <family val="2"/>
      <scheme val="minor"/>
    </font>
    <font>
      <sz val="8"/>
      <color theme="0"/>
      <name val="Ubuntu Mono"/>
      <family val="3"/>
    </font>
    <font>
      <b/>
      <sz val="10"/>
      <color indexed="9"/>
      <name val="Arial"/>
      <family val="2"/>
    </font>
    <font>
      <sz val="8"/>
      <color rgb="FFFF0000"/>
      <name val="Arial"/>
      <family val="2"/>
    </font>
    <font>
      <sz val="10"/>
      <color theme="1"/>
      <name val="Calibri"/>
      <family val="2"/>
      <scheme val="minor"/>
    </font>
    <font>
      <b/>
      <sz val="10"/>
      <color theme="3"/>
      <name val="Arial"/>
      <family val="2"/>
    </font>
    <font>
      <b/>
      <u/>
      <sz val="18"/>
      <color theme="1"/>
      <name val="Calibri"/>
      <family val="2"/>
      <scheme val="minor"/>
    </font>
    <font>
      <sz val="16"/>
      <color rgb="FF000000"/>
      <name val="Calibri"/>
      <family val="2"/>
    </font>
    <font>
      <sz val="11"/>
      <color rgb="FF000000"/>
      <name val="Calibri"/>
      <family val="2"/>
    </font>
    <font>
      <b/>
      <sz val="10"/>
      <color theme="0"/>
      <name val="Cachet"/>
      <family val="2"/>
    </font>
    <font>
      <sz val="12"/>
      <color theme="0"/>
      <name val="Cachet"/>
      <family val="2"/>
    </font>
    <font>
      <b/>
      <sz val="14"/>
      <color theme="0"/>
      <name val="Arial"/>
      <family val="2"/>
    </font>
    <font>
      <sz val="10"/>
      <color theme="0" tint="-0.249977111117893"/>
      <name val="Arial"/>
      <family val="2"/>
    </font>
    <font>
      <sz val="10"/>
      <color theme="2" tint="-0.249977111117893"/>
      <name val="Arial"/>
      <family val="2"/>
    </font>
    <font>
      <sz val="8"/>
      <color theme="2" tint="-0.249977111117893"/>
      <name val="Ubuntu Mono"/>
      <family val="3"/>
    </font>
    <font>
      <sz val="8"/>
      <color theme="0" tint="-4.9989318521683403E-2"/>
      <name val="Ubuntu Mono"/>
      <family val="3"/>
    </font>
    <font>
      <sz val="10"/>
      <color theme="0" tint="-4.9989318521683403E-2"/>
      <name val="Arial"/>
      <family val="2"/>
    </font>
    <font>
      <sz val="10"/>
      <color theme="0" tint="-4.9989318521683403E-2"/>
      <name val="Cachet"/>
      <family val="2"/>
    </font>
    <font>
      <b/>
      <sz val="10"/>
      <color theme="0"/>
      <name val="Arial"/>
      <family val="2"/>
    </font>
    <font>
      <b/>
      <sz val="12"/>
      <color theme="0"/>
      <name val="Cachet"/>
      <family val="2"/>
    </font>
    <font>
      <b/>
      <sz val="12"/>
      <color theme="0"/>
      <name val="Arial"/>
      <family val="2"/>
    </font>
    <font>
      <b/>
      <sz val="10"/>
      <color theme="1"/>
      <name val="Arial"/>
      <family val="2"/>
    </font>
    <font>
      <b/>
      <sz val="8"/>
      <color indexed="8"/>
      <name val="Arial"/>
      <family val="2"/>
    </font>
    <font>
      <sz val="12"/>
      <color rgb="FF000000"/>
      <name val="Calibri"/>
      <family val="2"/>
    </font>
  </fonts>
  <fills count="38">
    <fill>
      <patternFill patternType="none"/>
    </fill>
    <fill>
      <patternFill patternType="gray125"/>
    </fill>
    <fill>
      <patternFill patternType="solid">
        <fgColor rgb="FF0070C0"/>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5" tint="-0.499984740745262"/>
        <bgColor indexed="64"/>
      </patternFill>
    </fill>
    <fill>
      <patternFill patternType="solid">
        <fgColor theme="3"/>
        <bgColor indexed="64"/>
      </patternFill>
    </fill>
    <fill>
      <patternFill patternType="solid">
        <fgColor rgb="FFEE9512"/>
        <bgColor indexed="64"/>
      </patternFill>
    </fill>
    <fill>
      <patternFill patternType="solid">
        <fgColor rgb="FF7030A0"/>
        <bgColor indexed="64"/>
      </patternFill>
    </fill>
    <fill>
      <patternFill patternType="solid">
        <fgColor theme="9" tint="-0.249977111117893"/>
        <bgColor indexed="64"/>
      </patternFill>
    </fill>
    <fill>
      <patternFill patternType="solid">
        <fgColor theme="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79998168889431442"/>
        <bgColor indexed="64"/>
      </patternFill>
    </fill>
    <fill>
      <patternFill patternType="solid">
        <fgColor indexed="9"/>
        <bgColor indexed="64"/>
      </patternFill>
    </fill>
    <fill>
      <patternFill patternType="solid">
        <fgColor indexed="2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2"/>
        <bgColor indexed="64"/>
      </patternFill>
    </fill>
    <fill>
      <patternFill patternType="solid">
        <fgColor theme="4" tint="-0.249977111117893"/>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7" tint="-0.249977111117893"/>
        <bgColor indexed="64"/>
      </patternFill>
    </fill>
    <fill>
      <patternFill patternType="solid">
        <fgColor theme="9" tint="0.39997558519241921"/>
        <bgColor indexed="64"/>
      </patternFill>
    </fill>
    <fill>
      <patternFill patternType="lightTrellis">
        <bgColor theme="4" tint="0.79995117038483843"/>
      </patternFill>
    </fill>
    <fill>
      <patternFill patternType="lightTrellis">
        <bgColor theme="9" tint="0.79995117038483843"/>
      </patternFill>
    </fill>
    <fill>
      <patternFill patternType="lightTrellis">
        <bgColor theme="9" tint="0.79998168889431442"/>
      </patternFill>
    </fill>
    <fill>
      <patternFill patternType="solid">
        <fgColor theme="3" tint="0.79998168889431442"/>
        <bgColor indexed="64"/>
      </patternFill>
    </fill>
    <fill>
      <patternFill patternType="solid">
        <fgColor rgb="FFFFFFFF"/>
        <bgColor indexed="64"/>
      </patternFill>
    </fill>
    <fill>
      <patternFill patternType="solid">
        <fgColor rgb="FFDDEBF7"/>
        <bgColor indexed="64"/>
      </patternFill>
    </fill>
  </fills>
  <borders count="5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thin">
        <color auto="1"/>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auto="1"/>
      </left>
      <right style="thin">
        <color auto="1"/>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auto="1"/>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diagonal/>
    </border>
    <border>
      <left/>
      <right style="medium">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dashed">
        <color auto="1"/>
      </bottom>
      <diagonal/>
    </border>
    <border>
      <left/>
      <right/>
      <top style="dashed">
        <color auto="1"/>
      </top>
      <bottom style="dashed">
        <color auto="1"/>
      </bottom>
      <diagonal/>
    </border>
    <border>
      <left style="thin">
        <color indexed="64"/>
      </left>
      <right/>
      <top style="thin">
        <color indexed="64"/>
      </top>
      <bottom style="thin">
        <color indexed="64"/>
      </bottom>
      <diagonal/>
    </border>
    <border>
      <left/>
      <right/>
      <top/>
      <bottom style="double">
        <color indexed="64"/>
      </bottom>
      <diagonal/>
    </border>
    <border>
      <left/>
      <right/>
      <top style="double">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hair">
        <color auto="1"/>
      </left>
      <right style="hair">
        <color auto="1"/>
      </right>
      <top style="hair">
        <color auto="1"/>
      </top>
      <bottom style="hair">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s>
  <cellStyleXfs count="15">
    <xf numFmtId="0" fontId="0" fillId="0" borderId="0"/>
    <xf numFmtId="165" fontId="1" fillId="0" borderId="0" applyFont="0" applyFill="0" applyBorder="0" applyAlignment="0" applyProtection="0"/>
    <xf numFmtId="0" fontId="1" fillId="0" borderId="0"/>
    <xf numFmtId="9" fontId="3" fillId="0" borderId="0" applyFont="0" applyFill="0" applyBorder="0" applyAlignment="0" applyProtection="0"/>
    <xf numFmtId="9" fontId="1" fillId="0" borderId="0" applyFont="0" applyFill="0" applyBorder="0" applyAlignment="0" applyProtection="0"/>
    <xf numFmtId="0" fontId="3" fillId="0" borderId="0"/>
    <xf numFmtId="166" fontId="3" fillId="0" borderId="0" applyFont="0" applyFill="0" applyBorder="0" applyAlignment="0" applyProtection="0"/>
    <xf numFmtId="177" fontId="3" fillId="0" borderId="0" applyFont="0" applyFill="0" applyBorder="0" applyAlignment="0" applyProtection="0"/>
    <xf numFmtId="9" fontId="1" fillId="0" borderId="0" applyFont="0" applyFill="0" applyBorder="0" applyAlignment="0" applyProtection="0"/>
    <xf numFmtId="0" fontId="51" fillId="0" borderId="0" applyNumberFormat="0" applyFill="0" applyBorder="0" applyAlignment="0" applyProtection="0"/>
    <xf numFmtId="0" fontId="3" fillId="0" borderId="0"/>
    <xf numFmtId="9" fontId="1" fillId="0" borderId="0" applyFont="0" applyFill="0" applyBorder="0" applyAlignment="0" applyProtection="0"/>
    <xf numFmtId="0" fontId="5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cellStyleXfs>
  <cellXfs count="632">
    <xf numFmtId="0" fontId="0" fillId="0" borderId="0" xfId="0"/>
    <xf numFmtId="0" fontId="1" fillId="0" borderId="0" xfId="2"/>
    <xf numFmtId="10" fontId="1" fillId="0" borderId="0" xfId="3" applyNumberFormat="1" applyFont="1" applyAlignment="1"/>
    <xf numFmtId="0" fontId="5" fillId="0" borderId="1" xfId="2" applyFont="1" applyBorder="1" applyAlignment="1">
      <alignment horizontal="center" vertical="center"/>
    </xf>
    <xf numFmtId="0" fontId="6" fillId="3" borderId="2" xfId="2" applyFont="1" applyFill="1" applyBorder="1" applyAlignment="1">
      <alignment horizontal="center" vertical="center"/>
    </xf>
    <xf numFmtId="0" fontId="7" fillId="3" borderId="2" xfId="2" applyFont="1" applyFill="1" applyBorder="1" applyAlignment="1">
      <alignment vertical="center"/>
    </xf>
    <xf numFmtId="0" fontId="8" fillId="3" borderId="2" xfId="2" applyFont="1" applyFill="1" applyBorder="1" applyAlignment="1">
      <alignment horizontal="center" vertical="center"/>
    </xf>
    <xf numFmtId="0" fontId="9" fillId="4" borderId="2" xfId="2" applyFont="1" applyFill="1" applyBorder="1" applyAlignment="1">
      <alignment horizontal="center" vertical="center"/>
    </xf>
    <xf numFmtId="0" fontId="7" fillId="5" borderId="2" xfId="2" applyFont="1" applyFill="1" applyBorder="1" applyAlignment="1">
      <alignment horizontal="center" vertical="center"/>
    </xf>
    <xf numFmtId="0" fontId="7" fillId="6" borderId="1" xfId="2" applyFont="1" applyFill="1" applyBorder="1" applyAlignment="1">
      <alignment horizontal="center" vertical="center"/>
    </xf>
    <xf numFmtId="0" fontId="7" fillId="7" borderId="2" xfId="2" applyFont="1" applyFill="1" applyBorder="1" applyAlignment="1">
      <alignment horizontal="center" vertical="center"/>
    </xf>
    <xf numFmtId="0" fontId="7" fillId="8" borderId="2" xfId="2" applyFont="1" applyFill="1" applyBorder="1" applyAlignment="1">
      <alignment horizontal="center" vertical="center"/>
    </xf>
    <xf numFmtId="0" fontId="7" fillId="3" borderId="3" xfId="2" applyFont="1" applyFill="1" applyBorder="1" applyAlignment="1">
      <alignment horizontal="center" vertical="center"/>
    </xf>
    <xf numFmtId="0" fontId="9" fillId="9" borderId="7" xfId="2" applyFont="1" applyFill="1" applyBorder="1" applyAlignment="1">
      <alignment horizontal="center" vertical="center"/>
    </xf>
    <xf numFmtId="0" fontId="9" fillId="9" borderId="8" xfId="2" applyFont="1" applyFill="1" applyBorder="1" applyAlignment="1">
      <alignment horizontal="center" vertical="center"/>
    </xf>
    <xf numFmtId="0" fontId="7" fillId="3" borderId="8" xfId="2" applyFont="1" applyFill="1" applyBorder="1" applyAlignment="1">
      <alignment horizontal="center" vertical="center"/>
    </xf>
    <xf numFmtId="0" fontId="9" fillId="4" borderId="9" xfId="2" applyFont="1" applyFill="1" applyBorder="1" applyAlignment="1">
      <alignment horizontal="center" vertical="center" wrapText="1"/>
    </xf>
    <xf numFmtId="10" fontId="9" fillId="4" borderId="8" xfId="3" applyNumberFormat="1" applyFont="1" applyFill="1" applyBorder="1" applyAlignment="1">
      <alignment horizontal="center" vertical="center" wrapText="1"/>
    </xf>
    <xf numFmtId="0" fontId="10" fillId="0" borderId="10" xfId="2" applyFont="1" applyBorder="1" applyAlignment="1">
      <alignment horizontal="center" vertical="center"/>
    </xf>
    <xf numFmtId="0" fontId="10" fillId="0" borderId="11" xfId="2" applyFont="1" applyBorder="1" applyAlignment="1">
      <alignment horizontal="center" vertical="center"/>
    </xf>
    <xf numFmtId="0" fontId="10" fillId="0" borderId="12" xfId="2" applyFont="1" applyBorder="1" applyAlignment="1">
      <alignment horizontal="center" vertical="center"/>
    </xf>
    <xf numFmtId="0" fontId="5" fillId="10" borderId="13" xfId="2" applyFont="1" applyFill="1" applyBorder="1" applyAlignment="1">
      <alignment horizontal="center" vertical="center"/>
    </xf>
    <xf numFmtId="0" fontId="11" fillId="3" borderId="0" xfId="2" applyFont="1" applyFill="1" applyAlignment="1">
      <alignment horizontal="center" vertical="center"/>
    </xf>
    <xf numFmtId="0" fontId="12" fillId="3" borderId="0" xfId="2" applyFont="1" applyFill="1" applyAlignment="1">
      <alignment vertical="center"/>
    </xf>
    <xf numFmtId="0" fontId="12" fillId="3" borderId="0" xfId="2" applyFont="1" applyFill="1" applyAlignment="1">
      <alignment horizontal="center" vertical="center"/>
    </xf>
    <xf numFmtId="10" fontId="13" fillId="4" borderId="14" xfId="4" applyNumberFormat="1" applyFont="1" applyFill="1" applyBorder="1" applyAlignment="1">
      <alignment horizontal="center" vertical="center"/>
    </xf>
    <xf numFmtId="0" fontId="13" fillId="3" borderId="15" xfId="2" applyFont="1" applyFill="1" applyBorder="1" applyAlignment="1">
      <alignment horizontal="center" vertical="center"/>
    </xf>
    <xf numFmtId="0" fontId="11" fillId="3" borderId="13" xfId="2" applyFont="1" applyFill="1" applyBorder="1" applyAlignment="1">
      <alignment vertical="center"/>
    </xf>
    <xf numFmtId="0" fontId="11" fillId="3" borderId="16" xfId="2" applyFont="1" applyFill="1" applyBorder="1" applyAlignment="1">
      <alignment vertical="center"/>
    </xf>
    <xf numFmtId="10" fontId="13" fillId="4" borderId="17" xfId="4" applyNumberFormat="1" applyFont="1" applyFill="1" applyBorder="1" applyAlignment="1">
      <alignment horizontal="center" vertical="center"/>
    </xf>
    <xf numFmtId="10" fontId="13" fillId="4" borderId="16" xfId="3" applyNumberFormat="1" applyFont="1" applyFill="1" applyBorder="1" applyAlignment="1">
      <alignment horizontal="center" vertical="center"/>
    </xf>
    <xf numFmtId="0" fontId="11" fillId="0" borderId="10" xfId="2" applyFont="1" applyBorder="1" applyAlignment="1">
      <alignment vertical="center"/>
    </xf>
    <xf numFmtId="0" fontId="1" fillId="0" borderId="11" xfId="2" applyBorder="1"/>
    <xf numFmtId="0" fontId="1" fillId="0" borderId="12" xfId="2" applyBorder="1"/>
    <xf numFmtId="0" fontId="7" fillId="6" borderId="18" xfId="2" applyFont="1" applyFill="1" applyBorder="1" applyAlignment="1">
      <alignment vertical="center"/>
    </xf>
    <xf numFmtId="0" fontId="6" fillId="6" borderId="1" xfId="2" applyFont="1" applyFill="1" applyBorder="1" applyAlignment="1">
      <alignment vertical="center"/>
    </xf>
    <xf numFmtId="0" fontId="7" fillId="6" borderId="2" xfId="2" applyFont="1" applyFill="1" applyBorder="1" applyAlignment="1">
      <alignment vertical="center"/>
    </xf>
    <xf numFmtId="0" fontId="7" fillId="6" borderId="13" xfId="2" applyFont="1" applyFill="1" applyBorder="1" applyAlignment="1">
      <alignment vertical="center"/>
    </xf>
    <xf numFmtId="0" fontId="7" fillId="6" borderId="16" xfId="2" applyFont="1" applyFill="1" applyBorder="1" applyAlignment="1">
      <alignment vertical="center"/>
    </xf>
    <xf numFmtId="0" fontId="7" fillId="6" borderId="17" xfId="2" applyFont="1" applyFill="1" applyBorder="1" applyAlignment="1">
      <alignment vertical="center"/>
    </xf>
    <xf numFmtId="10" fontId="7" fillId="6" borderId="16" xfId="3" applyNumberFormat="1" applyFont="1" applyFill="1" applyBorder="1" applyAlignment="1">
      <alignment vertical="center"/>
    </xf>
    <xf numFmtId="0" fontId="7" fillId="0" borderId="10" xfId="2" applyFont="1" applyBorder="1" applyAlignment="1">
      <alignment vertical="center"/>
    </xf>
    <xf numFmtId="0" fontId="5" fillId="0" borderId="13" xfId="2" applyFont="1" applyBorder="1" applyAlignment="1">
      <alignment horizontal="center" vertical="center"/>
    </xf>
    <xf numFmtId="0" fontId="15" fillId="0" borderId="16" xfId="2" applyFont="1" applyBorder="1" applyAlignment="1">
      <alignment vertical="center"/>
    </xf>
    <xf numFmtId="2" fontId="16" fillId="0" borderId="16" xfId="2" applyNumberFormat="1" applyFont="1" applyBorder="1" applyAlignment="1">
      <alignment horizontal="center" vertical="center"/>
    </xf>
    <xf numFmtId="167" fontId="0" fillId="0" borderId="0" xfId="3" applyNumberFormat="1" applyFont="1" applyFill="1" applyBorder="1"/>
    <xf numFmtId="168" fontId="0" fillId="0" borderId="13" xfId="1" applyNumberFormat="1" applyFont="1" applyFill="1" applyBorder="1"/>
    <xf numFmtId="169" fontId="0" fillId="0" borderId="16" xfId="0" applyNumberFormat="1" applyBorder="1"/>
    <xf numFmtId="9" fontId="17" fillId="11" borderId="16" xfId="3" applyFont="1" applyFill="1" applyBorder="1"/>
    <xf numFmtId="168" fontId="0" fillId="0" borderId="16" xfId="0" applyNumberFormat="1" applyBorder="1"/>
    <xf numFmtId="168" fontId="0" fillId="0" borderId="17" xfId="0" applyNumberFormat="1" applyBorder="1"/>
    <xf numFmtId="10" fontId="0" fillId="0" borderId="16" xfId="3" applyNumberFormat="1" applyFont="1" applyFill="1" applyBorder="1"/>
    <xf numFmtId="164" fontId="18" fillId="0" borderId="10" xfId="1" applyNumberFormat="1" applyFont="1" applyFill="1" applyBorder="1" applyAlignment="1">
      <alignment horizontal="center" vertical="center"/>
    </xf>
    <xf numFmtId="164" fontId="19" fillId="0" borderId="11" xfId="1" applyNumberFormat="1" applyFont="1" applyFill="1" applyBorder="1" applyAlignment="1">
      <alignment horizontal="center" vertical="center"/>
    </xf>
    <xf numFmtId="9" fontId="20" fillId="0" borderId="12" xfId="3" applyFont="1" applyFill="1" applyBorder="1" applyAlignment="1">
      <alignment horizontal="center" vertical="center"/>
    </xf>
    <xf numFmtId="164" fontId="0" fillId="0" borderId="0" xfId="0" applyNumberFormat="1"/>
    <xf numFmtId="9" fontId="0" fillId="0" borderId="0" xfId="3" applyFont="1" applyFill="1"/>
    <xf numFmtId="165" fontId="0" fillId="0" borderId="13" xfId="1" applyFont="1" applyBorder="1"/>
    <xf numFmtId="0" fontId="0" fillId="0" borderId="16" xfId="0" applyBorder="1"/>
    <xf numFmtId="0" fontId="0" fillId="0" borderId="17" xfId="0" applyBorder="1"/>
    <xf numFmtId="10" fontId="0" fillId="0" borderId="16" xfId="3" applyNumberFormat="1" applyFont="1" applyBorder="1"/>
    <xf numFmtId="0" fontId="9" fillId="9" borderId="13" xfId="2" applyFont="1" applyFill="1" applyBorder="1" applyAlignment="1">
      <alignment vertical="center"/>
    </xf>
    <xf numFmtId="0" fontId="9" fillId="9" borderId="16" xfId="2" applyFont="1" applyFill="1" applyBorder="1" applyAlignment="1">
      <alignment horizontal="center" vertical="center"/>
    </xf>
    <xf numFmtId="0" fontId="7" fillId="3" borderId="16" xfId="2" applyFont="1" applyFill="1" applyBorder="1" applyAlignment="1">
      <alignment horizontal="center" vertical="center"/>
    </xf>
    <xf numFmtId="0" fontId="9" fillId="4" borderId="17" xfId="2" applyFont="1" applyFill="1" applyBorder="1" applyAlignment="1">
      <alignment horizontal="center" vertical="center"/>
    </xf>
    <xf numFmtId="10" fontId="9" fillId="4" borderId="16" xfId="3" applyNumberFormat="1" applyFont="1" applyFill="1" applyBorder="1" applyAlignment="1">
      <alignment horizontal="center" vertical="center"/>
    </xf>
    <xf numFmtId="168" fontId="0" fillId="0" borderId="13" xfId="1" applyNumberFormat="1" applyFont="1" applyBorder="1"/>
    <xf numFmtId="168" fontId="0" fillId="12" borderId="13" xfId="1" applyNumberFormat="1" applyFont="1" applyFill="1" applyBorder="1"/>
    <xf numFmtId="169" fontId="0" fillId="12" borderId="16" xfId="0" applyNumberFormat="1" applyFill="1" applyBorder="1"/>
    <xf numFmtId="9" fontId="17" fillId="12" borderId="16" xfId="3" applyFont="1" applyFill="1" applyBorder="1"/>
    <xf numFmtId="168" fontId="0" fillId="12" borderId="16" xfId="0" applyNumberFormat="1" applyFill="1" applyBorder="1"/>
    <xf numFmtId="168" fontId="0" fillId="12" borderId="17" xfId="0" applyNumberFormat="1" applyFill="1" applyBorder="1"/>
    <xf numFmtId="10" fontId="0" fillId="12" borderId="16" xfId="3" applyNumberFormat="1" applyFont="1" applyFill="1" applyBorder="1"/>
    <xf numFmtId="0" fontId="0" fillId="0" borderId="13" xfId="0" applyBorder="1"/>
    <xf numFmtId="10" fontId="0" fillId="0" borderId="0" xfId="3" applyNumberFormat="1" applyFont="1" applyFill="1" applyBorder="1"/>
    <xf numFmtId="2" fontId="0" fillId="0" borderId="0" xfId="0" applyNumberFormat="1"/>
    <xf numFmtId="168" fontId="0" fillId="13" borderId="13" xfId="1" applyNumberFormat="1" applyFont="1" applyFill="1" applyBorder="1"/>
    <xf numFmtId="0" fontId="0" fillId="0" borderId="22" xfId="0" applyBorder="1"/>
    <xf numFmtId="0" fontId="0" fillId="0" borderId="23" xfId="0" applyBorder="1"/>
    <xf numFmtId="0" fontId="0" fillId="0" borderId="24" xfId="0" applyBorder="1"/>
    <xf numFmtId="10" fontId="0" fillId="0" borderId="23" xfId="3" applyNumberFormat="1" applyFont="1" applyBorder="1"/>
    <xf numFmtId="164" fontId="18" fillId="0" borderId="25" xfId="1" applyNumberFormat="1" applyFont="1" applyFill="1" applyBorder="1" applyAlignment="1">
      <alignment horizontal="center" vertical="center"/>
    </xf>
    <xf numFmtId="164" fontId="19" fillId="0" borderId="26" xfId="1" applyNumberFormat="1" applyFont="1" applyFill="1" applyBorder="1" applyAlignment="1">
      <alignment horizontal="center" vertical="center"/>
    </xf>
    <xf numFmtId="9" fontId="20" fillId="0" borderId="27" xfId="3" applyFont="1" applyFill="1" applyBorder="1" applyAlignment="1">
      <alignment horizontal="center" vertical="center"/>
    </xf>
    <xf numFmtId="10" fontId="0" fillId="0" borderId="0" xfId="3" applyNumberFormat="1" applyFont="1"/>
    <xf numFmtId="0" fontId="21" fillId="0" borderId="0" xfId="0" applyFont="1" applyAlignment="1">
      <alignment vertical="center"/>
    </xf>
    <xf numFmtId="0" fontId="0" fillId="0" borderId="0" xfId="0" applyAlignment="1">
      <alignment horizontal="center" wrapText="1"/>
    </xf>
    <xf numFmtId="0" fontId="0" fillId="0" borderId="11" xfId="0" applyBorder="1"/>
    <xf numFmtId="0" fontId="21" fillId="0" borderId="0" xfId="0" applyFont="1" applyAlignment="1">
      <alignment horizontal="center" vertical="center" wrapText="1"/>
    </xf>
    <xf numFmtId="0" fontId="0" fillId="0" borderId="28" xfId="0" applyBorder="1" applyAlignment="1">
      <alignment horizontal="left"/>
    </xf>
    <xf numFmtId="0" fontId="0" fillId="0" borderId="0" xfId="0" applyAlignment="1">
      <alignment horizontal="left"/>
    </xf>
    <xf numFmtId="0" fontId="0" fillId="14" borderId="0" xfId="0" applyFill="1"/>
    <xf numFmtId="0" fontId="2" fillId="0" borderId="0" xfId="0" applyFont="1" applyAlignment="1">
      <alignment horizontal="center"/>
    </xf>
    <xf numFmtId="0" fontId="2" fillId="0" borderId="0" xfId="0" applyFont="1"/>
    <xf numFmtId="0" fontId="0" fillId="10" borderId="0" xfId="0" applyFill="1"/>
    <xf numFmtId="0" fontId="0" fillId="0" borderId="11" xfId="0" applyBorder="1" applyAlignment="1">
      <alignment horizontal="center"/>
    </xf>
    <xf numFmtId="9" fontId="0" fillId="0" borderId="11" xfId="0" applyNumberFormat="1" applyBorder="1" applyAlignment="1">
      <alignment horizontal="center"/>
    </xf>
    <xf numFmtId="0" fontId="0" fillId="0" borderId="0" xfId="0" applyAlignment="1">
      <alignment horizontal="center"/>
    </xf>
    <xf numFmtId="0" fontId="25" fillId="10" borderId="0" xfId="5" applyFont="1" applyFill="1" applyAlignment="1">
      <alignment vertical="center"/>
    </xf>
    <xf numFmtId="0" fontId="3" fillId="0" borderId="0" xfId="5" applyAlignment="1">
      <alignment vertical="center"/>
    </xf>
    <xf numFmtId="0" fontId="25" fillId="10" borderId="31" xfId="5" applyFont="1" applyFill="1" applyBorder="1" applyAlignment="1">
      <alignment vertical="center"/>
    </xf>
    <xf numFmtId="0" fontId="24" fillId="10" borderId="32" xfId="5" applyFont="1" applyFill="1" applyBorder="1" applyAlignment="1">
      <alignment horizontal="center" vertical="center"/>
    </xf>
    <xf numFmtId="0" fontId="25" fillId="10" borderId="32" xfId="5" applyFont="1" applyFill="1" applyBorder="1" applyAlignment="1">
      <alignment vertical="center"/>
    </xf>
    <xf numFmtId="0" fontId="26" fillId="0" borderId="0" xfId="5" applyFont="1"/>
    <xf numFmtId="0" fontId="27" fillId="15" borderId="0" xfId="5" applyFont="1" applyFill="1"/>
    <xf numFmtId="0" fontId="28" fillId="0" borderId="0" xfId="5" applyFont="1"/>
    <xf numFmtId="0" fontId="23" fillId="15" borderId="0" xfId="5" applyFont="1" applyFill="1" applyAlignment="1">
      <alignment horizontal="center"/>
    </xf>
    <xf numFmtId="0" fontId="3" fillId="0" borderId="0" xfId="5"/>
    <xf numFmtId="0" fontId="29" fillId="15" borderId="0" xfId="5" applyFont="1" applyFill="1" applyAlignment="1">
      <alignment horizontal="right"/>
    </xf>
    <xf numFmtId="0" fontId="3" fillId="0" borderId="0" xfId="5" applyAlignment="1">
      <alignment horizontal="left" indent="2"/>
    </xf>
    <xf numFmtId="0" fontId="3" fillId="0" borderId="0" xfId="5" applyAlignment="1">
      <alignment horizontal="right"/>
    </xf>
    <xf numFmtId="0" fontId="30" fillId="15" borderId="0" xfId="5" applyFont="1" applyFill="1" applyAlignment="1">
      <alignment horizontal="right"/>
    </xf>
    <xf numFmtId="0" fontId="3" fillId="0" borderId="31" xfId="5" applyBorder="1"/>
    <xf numFmtId="0" fontId="28" fillId="0" borderId="31" xfId="5" applyFont="1" applyBorder="1"/>
    <xf numFmtId="0" fontId="23" fillId="15" borderId="31" xfId="5" applyFont="1" applyFill="1" applyBorder="1" applyAlignment="1">
      <alignment horizontal="center"/>
    </xf>
    <xf numFmtId="0" fontId="31" fillId="15" borderId="31" xfId="5" applyFont="1" applyFill="1" applyBorder="1" applyAlignment="1">
      <alignment horizontal="right"/>
    </xf>
    <xf numFmtId="0" fontId="31" fillId="15" borderId="0" xfId="5" applyFont="1" applyFill="1" applyAlignment="1">
      <alignment horizontal="right"/>
    </xf>
    <xf numFmtId="0" fontId="32" fillId="15" borderId="0" xfId="5" applyFont="1" applyFill="1" applyAlignment="1">
      <alignment horizontal="left"/>
    </xf>
    <xf numFmtId="0" fontId="32" fillId="15" borderId="0" xfId="5" applyFont="1" applyFill="1" applyAlignment="1">
      <alignment horizontal="center"/>
    </xf>
    <xf numFmtId="0" fontId="33" fillId="15" borderId="0" xfId="5" applyFont="1" applyFill="1" applyAlignment="1">
      <alignment horizontal="left"/>
    </xf>
    <xf numFmtId="0" fontId="31" fillId="15" borderId="0" xfId="5" applyFont="1" applyFill="1" applyAlignment="1">
      <alignment horizontal="left" indent="1"/>
    </xf>
    <xf numFmtId="0" fontId="34" fillId="15" borderId="0" xfId="5" applyFont="1" applyFill="1" applyAlignment="1">
      <alignment horizontal="left"/>
    </xf>
    <xf numFmtId="14" fontId="33" fillId="15" borderId="0" xfId="5" applyNumberFormat="1" applyFont="1" applyFill="1" applyAlignment="1">
      <alignment horizontal="left"/>
    </xf>
    <xf numFmtId="0" fontId="3" fillId="15" borderId="0" xfId="5" applyFill="1" applyAlignment="1">
      <alignment horizontal="left"/>
    </xf>
    <xf numFmtId="0" fontId="3" fillId="15" borderId="0" xfId="5" applyFill="1"/>
    <xf numFmtId="0" fontId="32" fillId="15" borderId="0" xfId="5" applyFont="1" applyFill="1"/>
    <xf numFmtId="0" fontId="23" fillId="15" borderId="33" xfId="5" applyFont="1" applyFill="1" applyBorder="1" applyAlignment="1">
      <alignment horizontal="center"/>
    </xf>
    <xf numFmtId="0" fontId="3" fillId="0" borderId="35" xfId="5" applyBorder="1"/>
    <xf numFmtId="0" fontId="36" fillId="15" borderId="35" xfId="5" applyFont="1" applyFill="1" applyBorder="1"/>
    <xf numFmtId="0" fontId="36" fillId="15" borderId="36" xfId="5" applyFont="1" applyFill="1" applyBorder="1"/>
    <xf numFmtId="0" fontId="3" fillId="0" borderId="38" xfId="5" applyBorder="1"/>
    <xf numFmtId="0" fontId="36" fillId="15" borderId="38" xfId="5" applyFont="1" applyFill="1" applyBorder="1"/>
    <xf numFmtId="0" fontId="3" fillId="15" borderId="39" xfId="5" applyFill="1" applyBorder="1"/>
    <xf numFmtId="0" fontId="3" fillId="0" borderId="0" xfId="5" applyAlignment="1">
      <alignment horizontal="left"/>
    </xf>
    <xf numFmtId="0" fontId="36" fillId="15" borderId="0" xfId="5" applyFont="1" applyFill="1"/>
    <xf numFmtId="0" fontId="3" fillId="0" borderId="43" xfId="5" applyBorder="1"/>
    <xf numFmtId="0" fontId="27" fillId="15" borderId="0" xfId="5" applyFont="1" applyFill="1" applyAlignment="1">
      <alignment horizontal="center"/>
    </xf>
    <xf numFmtId="176" fontId="36" fillId="15" borderId="0" xfId="5" applyNumberFormat="1" applyFont="1" applyFill="1"/>
    <xf numFmtId="0" fontId="27" fillId="0" borderId="0" xfId="5" applyFont="1"/>
    <xf numFmtId="0" fontId="42" fillId="15" borderId="0" xfId="5" applyFont="1" applyFill="1"/>
    <xf numFmtId="178" fontId="42" fillId="15" borderId="0" xfId="5" applyNumberFormat="1" applyFont="1" applyFill="1"/>
    <xf numFmtId="0" fontId="43" fillId="15" borderId="0" xfId="5" applyFont="1" applyFill="1" applyAlignment="1">
      <alignment horizontal="right"/>
    </xf>
    <xf numFmtId="0" fontId="45" fillId="0" borderId="0" xfId="5" applyFont="1"/>
    <xf numFmtId="0" fontId="46" fillId="15" borderId="0" xfId="5" applyFont="1" applyFill="1"/>
    <xf numFmtId="0" fontId="32" fillId="0" borderId="0" xfId="5" applyFont="1"/>
    <xf numFmtId="0" fontId="46" fillId="0" borderId="0" xfId="5" applyFont="1"/>
    <xf numFmtId="1" fontId="3" fillId="0" borderId="0" xfId="5" applyNumberFormat="1" applyAlignment="1">
      <alignment horizontal="left"/>
    </xf>
    <xf numFmtId="0" fontId="0" fillId="13" borderId="11" xfId="0" applyFill="1" applyBorder="1" applyAlignment="1">
      <alignment horizontal="center"/>
    </xf>
    <xf numFmtId="0" fontId="0" fillId="13" borderId="0" xfId="0" applyFill="1"/>
    <xf numFmtId="1" fontId="0" fillId="0" borderId="11" xfId="0" applyNumberFormat="1" applyBorder="1" applyAlignment="1">
      <alignment horizontal="center"/>
    </xf>
    <xf numFmtId="0" fontId="2" fillId="18" borderId="11" xfId="0" applyFont="1" applyFill="1" applyBorder="1" applyAlignment="1">
      <alignment horizontal="center"/>
    </xf>
    <xf numFmtId="2" fontId="0" fillId="0" borderId="11" xfId="0" applyNumberFormat="1" applyBorder="1" applyAlignment="1">
      <alignment horizontal="center"/>
    </xf>
    <xf numFmtId="0" fontId="2" fillId="0" borderId="11" xfId="0" applyFont="1" applyBorder="1" applyAlignment="1">
      <alignment horizontal="center"/>
    </xf>
    <xf numFmtId="1" fontId="2" fillId="18" borderId="11" xfId="0" applyNumberFormat="1" applyFont="1" applyFill="1" applyBorder="1" applyAlignment="1">
      <alignment horizontal="center"/>
    </xf>
    <xf numFmtId="165" fontId="0" fillId="0" borderId="11" xfId="1" applyFont="1" applyBorder="1" applyAlignment="1">
      <alignment horizontal="center"/>
    </xf>
    <xf numFmtId="165" fontId="2" fillId="0" borderId="11" xfId="1" applyFont="1" applyBorder="1" applyAlignment="1">
      <alignment horizontal="center"/>
    </xf>
    <xf numFmtId="165" fontId="0" fillId="0" borderId="11" xfId="1" applyFont="1" applyBorder="1"/>
    <xf numFmtId="2" fontId="2" fillId="0" borderId="11" xfId="0" applyNumberFormat="1" applyFont="1" applyBorder="1" applyAlignment="1">
      <alignment horizontal="center"/>
    </xf>
    <xf numFmtId="0" fontId="2" fillId="17" borderId="11" xfId="0" applyFont="1" applyFill="1" applyBorder="1" applyAlignment="1">
      <alignment horizontal="center"/>
    </xf>
    <xf numFmtId="1" fontId="0" fillId="0" borderId="11" xfId="0" applyNumberFormat="1" applyBorder="1"/>
    <xf numFmtId="165" fontId="1" fillId="0" borderId="11" xfId="1" applyFont="1" applyBorder="1" applyAlignment="1">
      <alignment horizontal="center"/>
    </xf>
    <xf numFmtId="1" fontId="0" fillId="0" borderId="34" xfId="0" applyNumberFormat="1" applyBorder="1" applyAlignment="1">
      <alignment horizontal="center"/>
    </xf>
    <xf numFmtId="0" fontId="0" fillId="0" borderId="34" xfId="0" applyBorder="1" applyAlignment="1">
      <alignment horizontal="center"/>
    </xf>
    <xf numFmtId="0" fontId="0" fillId="0" borderId="11" xfId="0" applyBorder="1" applyAlignment="1">
      <alignment horizontal="center" vertical="center"/>
    </xf>
    <xf numFmtId="165" fontId="0" fillId="0" borderId="11" xfId="0" applyNumberFormat="1" applyBorder="1"/>
    <xf numFmtId="165" fontId="0" fillId="19" borderId="11" xfId="0" applyNumberFormat="1" applyFill="1" applyBorder="1"/>
    <xf numFmtId="0" fontId="2" fillId="19" borderId="11" xfId="0" applyFont="1" applyFill="1" applyBorder="1" applyAlignment="1">
      <alignment horizontal="center"/>
    </xf>
    <xf numFmtId="0" fontId="2" fillId="20" borderId="11" xfId="0" applyFont="1" applyFill="1" applyBorder="1" applyAlignment="1">
      <alignment horizontal="center"/>
    </xf>
    <xf numFmtId="0" fontId="2" fillId="11" borderId="11" xfId="0" applyFont="1" applyFill="1" applyBorder="1" applyAlignment="1">
      <alignment horizontal="center"/>
    </xf>
    <xf numFmtId="0" fontId="2" fillId="12" borderId="11" xfId="0" applyFont="1" applyFill="1" applyBorder="1" applyAlignment="1">
      <alignment horizontal="center"/>
    </xf>
    <xf numFmtId="165" fontId="0" fillId="12" borderId="11" xfId="0" applyNumberFormat="1" applyFill="1" applyBorder="1"/>
    <xf numFmtId="165" fontId="2" fillId="19" borderId="11" xfId="0" applyNumberFormat="1" applyFont="1" applyFill="1" applyBorder="1" applyAlignment="1">
      <alignment horizontal="center"/>
    </xf>
    <xf numFmtId="165" fontId="2" fillId="11" borderId="11" xfId="0" applyNumberFormat="1" applyFont="1" applyFill="1" applyBorder="1" applyAlignment="1">
      <alignment horizontal="center"/>
    </xf>
    <xf numFmtId="10" fontId="0" fillId="0" borderId="11" xfId="0" applyNumberFormat="1" applyBorder="1" applyAlignment="1">
      <alignment horizontal="center"/>
    </xf>
    <xf numFmtId="0" fontId="2" fillId="11" borderId="11" xfId="0" applyFont="1" applyFill="1" applyBorder="1"/>
    <xf numFmtId="0" fontId="2" fillId="14" borderId="11" xfId="0" applyFont="1" applyFill="1" applyBorder="1" applyAlignment="1">
      <alignment horizontal="center"/>
    </xf>
    <xf numFmtId="0" fontId="2" fillId="24" borderId="11" xfId="0" applyFont="1" applyFill="1" applyBorder="1" applyAlignment="1">
      <alignment horizontal="center"/>
    </xf>
    <xf numFmtId="0" fontId="3" fillId="10" borderId="0" xfId="5" applyFill="1"/>
    <xf numFmtId="0" fontId="36" fillId="10" borderId="41" xfId="5" applyFont="1" applyFill="1" applyBorder="1" applyAlignment="1">
      <alignment horizontal="center"/>
    </xf>
    <xf numFmtId="0" fontId="36" fillId="10" borderId="0" xfId="5" applyFont="1" applyFill="1" applyAlignment="1">
      <alignment horizontal="center"/>
    </xf>
    <xf numFmtId="0" fontId="38" fillId="10" borderId="41" xfId="5" applyFont="1" applyFill="1" applyBorder="1" applyAlignment="1">
      <alignment horizontal="center"/>
    </xf>
    <xf numFmtId="0" fontId="3" fillId="10" borderId="40" xfId="5" applyFill="1" applyBorder="1" applyAlignment="1">
      <alignment horizontal="center"/>
    </xf>
    <xf numFmtId="0" fontId="48" fillId="10" borderId="41" xfId="5" applyFont="1" applyFill="1" applyBorder="1" applyAlignment="1">
      <alignment horizontal="center"/>
    </xf>
    <xf numFmtId="0" fontId="3" fillId="10" borderId="0" xfId="5" applyFill="1" applyAlignment="1">
      <alignment horizontal="center"/>
    </xf>
    <xf numFmtId="1" fontId="3" fillId="10" borderId="40" xfId="5" applyNumberFormat="1" applyFill="1" applyBorder="1" applyAlignment="1">
      <alignment horizontal="center"/>
    </xf>
    <xf numFmtId="0" fontId="3" fillId="10" borderId="40" xfId="5" quotePrefix="1" applyFill="1" applyBorder="1" applyAlignment="1">
      <alignment horizontal="center"/>
    </xf>
    <xf numFmtId="1" fontId="36" fillId="10" borderId="41" xfId="5" applyNumberFormat="1" applyFont="1" applyFill="1" applyBorder="1" applyAlignment="1">
      <alignment horizontal="center"/>
    </xf>
    <xf numFmtId="1" fontId="36" fillId="15" borderId="41" xfId="5" applyNumberFormat="1" applyFont="1" applyFill="1" applyBorder="1" applyAlignment="1">
      <alignment horizontal="left"/>
    </xf>
    <xf numFmtId="1" fontId="3" fillId="0" borderId="41" xfId="5" applyNumberFormat="1" applyBorder="1" applyAlignment="1">
      <alignment horizontal="center"/>
    </xf>
    <xf numFmtId="0" fontId="3" fillId="0" borderId="41" xfId="5" applyBorder="1" applyAlignment="1">
      <alignment horizontal="center"/>
    </xf>
    <xf numFmtId="0" fontId="32" fillId="10" borderId="0" xfId="5" applyFont="1" applyFill="1"/>
    <xf numFmtId="0" fontId="46" fillId="10" borderId="0" xfId="5" applyFont="1" applyFill="1"/>
    <xf numFmtId="0" fontId="2" fillId="13" borderId="11" xfId="0" applyFont="1" applyFill="1" applyBorder="1" applyAlignment="1">
      <alignment horizontal="center"/>
    </xf>
    <xf numFmtId="180" fontId="36" fillId="10" borderId="41" xfId="5" applyNumberFormat="1" applyFont="1" applyFill="1" applyBorder="1" applyAlignment="1">
      <alignment horizontal="center"/>
    </xf>
    <xf numFmtId="10" fontId="9" fillId="4" borderId="14" xfId="4" applyNumberFormat="1" applyFont="1" applyFill="1" applyBorder="1" applyAlignment="1">
      <alignment horizontal="center" vertical="center"/>
    </xf>
    <xf numFmtId="164" fontId="19" fillId="10" borderId="46" xfId="7" applyNumberFormat="1" applyFont="1" applyFill="1" applyBorder="1" applyAlignment="1">
      <alignment horizontal="center" vertical="center"/>
    </xf>
    <xf numFmtId="168" fontId="1" fillId="0" borderId="0" xfId="2" applyNumberFormat="1"/>
    <xf numFmtId="1" fontId="14" fillId="13" borderId="16" xfId="2" applyNumberFormat="1" applyFont="1" applyFill="1" applyBorder="1" applyAlignment="1">
      <alignment horizontal="center" vertical="center"/>
    </xf>
    <xf numFmtId="2" fontId="1" fillId="0" borderId="16" xfId="2" applyNumberFormat="1" applyBorder="1"/>
    <xf numFmtId="0" fontId="1" fillId="0" borderId="22" xfId="2" applyBorder="1"/>
    <xf numFmtId="0" fontId="1" fillId="0" borderId="23" xfId="2" applyBorder="1"/>
    <xf numFmtId="0" fontId="1" fillId="0" borderId="24" xfId="2" applyBorder="1"/>
    <xf numFmtId="165" fontId="2" fillId="20" borderId="11" xfId="0" applyNumberFormat="1" applyFont="1" applyFill="1" applyBorder="1" applyAlignment="1">
      <alignment horizontal="center"/>
    </xf>
    <xf numFmtId="181" fontId="36" fillId="15" borderId="35" xfId="5" applyNumberFormat="1" applyFont="1" applyFill="1" applyBorder="1" applyAlignment="1">
      <alignment horizontal="center"/>
    </xf>
    <xf numFmtId="0" fontId="3" fillId="0" borderId="0" xfId="0" applyFont="1"/>
    <xf numFmtId="0" fontId="3" fillId="0" borderId="11" xfId="0" applyFont="1" applyBorder="1" applyAlignment="1">
      <alignment horizontal="center"/>
    </xf>
    <xf numFmtId="0" fontId="0" fillId="24" borderId="11" xfId="0" applyFill="1" applyBorder="1" applyAlignment="1">
      <alignment horizontal="center"/>
    </xf>
    <xf numFmtId="0" fontId="0" fillId="24" borderId="0" xfId="0" applyFill="1"/>
    <xf numFmtId="0" fontId="3" fillId="0" borderId="11" xfId="0" applyFont="1" applyBorder="1"/>
    <xf numFmtId="0" fontId="28" fillId="0" borderId="11" xfId="0" applyFont="1" applyBorder="1" applyAlignment="1">
      <alignment horizontal="center"/>
    </xf>
    <xf numFmtId="171" fontId="3" fillId="0" borderId="11" xfId="0" applyNumberFormat="1" applyFont="1" applyBorder="1" applyAlignment="1">
      <alignment horizontal="center"/>
    </xf>
    <xf numFmtId="0" fontId="28" fillId="0" borderId="34" xfId="0" applyFont="1" applyBorder="1" applyAlignment="1">
      <alignment horizontal="center"/>
    </xf>
    <xf numFmtId="0" fontId="28" fillId="0" borderId="37" xfId="0" applyFont="1" applyBorder="1" applyAlignment="1">
      <alignment horizontal="center"/>
    </xf>
    <xf numFmtId="0" fontId="28" fillId="0" borderId="0" xfId="0" applyFont="1"/>
    <xf numFmtId="0" fontId="3" fillId="0" borderId="11" xfId="0" quotePrefix="1" applyFont="1" applyBorder="1" applyAlignment="1">
      <alignment horizontal="center"/>
    </xf>
    <xf numFmtId="0" fontId="3" fillId="24" borderId="11" xfId="0" applyFont="1" applyFill="1" applyBorder="1"/>
    <xf numFmtId="0" fontId="3" fillId="24" borderId="11" xfId="0" applyFont="1" applyFill="1" applyBorder="1" applyAlignment="1">
      <alignment horizontal="left"/>
    </xf>
    <xf numFmtId="0" fontId="0" fillId="24" borderId="11" xfId="0" applyFill="1" applyBorder="1"/>
    <xf numFmtId="0" fontId="36" fillId="10" borderId="41" xfId="5" applyFont="1" applyFill="1" applyBorder="1"/>
    <xf numFmtId="0" fontId="0" fillId="23" borderId="0" xfId="0" applyFill="1" applyAlignment="1">
      <alignment horizontal="center"/>
    </xf>
    <xf numFmtId="0" fontId="0" fillId="18" borderId="0" xfId="0" applyFill="1" applyAlignment="1">
      <alignment horizontal="center"/>
    </xf>
    <xf numFmtId="9" fontId="0" fillId="0" borderId="0" xfId="0" applyNumberFormat="1" applyAlignment="1">
      <alignment horizontal="center"/>
    </xf>
    <xf numFmtId="1" fontId="2" fillId="0" borderId="11" xfId="0" applyNumberFormat="1" applyFont="1" applyBorder="1" applyAlignment="1">
      <alignment horizontal="center"/>
    </xf>
    <xf numFmtId="1" fontId="0" fillId="0" borderId="11" xfId="0" applyNumberFormat="1" applyBorder="1" applyAlignment="1">
      <alignment vertical="center"/>
    </xf>
    <xf numFmtId="0" fontId="0" fillId="0" borderId="11" xfId="0" applyBorder="1" applyAlignment="1">
      <alignment vertical="center"/>
    </xf>
    <xf numFmtId="165" fontId="0" fillId="0" borderId="11" xfId="1" applyFont="1" applyBorder="1" applyAlignment="1">
      <alignment vertical="center"/>
    </xf>
    <xf numFmtId="2" fontId="0" fillId="13" borderId="11" xfId="0" applyNumberFormat="1" applyFill="1" applyBorder="1" applyAlignment="1">
      <alignment horizontal="center"/>
    </xf>
    <xf numFmtId="1" fontId="48" fillId="10" borderId="41" xfId="5" applyNumberFormat="1" applyFont="1" applyFill="1" applyBorder="1" applyAlignment="1">
      <alignment horizontal="center"/>
    </xf>
    <xf numFmtId="1" fontId="36" fillId="10" borderId="41" xfId="5" applyNumberFormat="1" applyFont="1" applyFill="1" applyBorder="1"/>
    <xf numFmtId="2" fontId="3" fillId="0" borderId="0" xfId="5" applyNumberFormat="1"/>
    <xf numFmtId="180" fontId="36" fillId="10" borderId="0" xfId="5" applyNumberFormat="1" applyFont="1" applyFill="1" applyAlignment="1">
      <alignment horizontal="center"/>
    </xf>
    <xf numFmtId="1" fontId="3" fillId="0" borderId="0" xfId="5" applyNumberFormat="1" applyAlignment="1">
      <alignment horizontal="center"/>
    </xf>
    <xf numFmtId="1" fontId="3" fillId="0" borderId="40" xfId="5" applyNumberFormat="1" applyBorder="1" applyAlignment="1">
      <alignment horizontal="center"/>
    </xf>
    <xf numFmtId="0" fontId="3" fillId="0" borderId="40" xfId="5" applyBorder="1" applyAlignment="1">
      <alignment horizontal="center"/>
    </xf>
    <xf numFmtId="0" fontId="3" fillId="0" borderId="40" xfId="5" applyBorder="1"/>
    <xf numFmtId="0" fontId="3" fillId="0" borderId="37" xfId="5" applyBorder="1" applyAlignment="1">
      <alignment horizontal="center"/>
    </xf>
    <xf numFmtId="0" fontId="0" fillId="13" borderId="0" xfId="0" applyFill="1" applyAlignment="1">
      <alignment horizontal="left"/>
    </xf>
    <xf numFmtId="0" fontId="0" fillId="17" borderId="0" xfId="0" applyFill="1"/>
    <xf numFmtId="175" fontId="36" fillId="10" borderId="41" xfId="6" applyNumberFormat="1" applyFont="1" applyFill="1" applyBorder="1" applyAlignment="1" applyProtection="1">
      <alignment horizontal="center"/>
    </xf>
    <xf numFmtId="0" fontId="3" fillId="18" borderId="30" xfId="5" applyFill="1" applyBorder="1" applyAlignment="1">
      <alignment horizontal="center"/>
    </xf>
    <xf numFmtId="0" fontId="36" fillId="18" borderId="16" xfId="5" applyFont="1" applyFill="1" applyBorder="1" applyAlignment="1">
      <alignment horizontal="left"/>
    </xf>
    <xf numFmtId="0" fontId="36" fillId="18" borderId="16" xfId="5" applyFont="1" applyFill="1" applyBorder="1"/>
    <xf numFmtId="49" fontId="0" fillId="0" borderId="11" xfId="0" applyNumberFormat="1" applyBorder="1"/>
    <xf numFmtId="49" fontId="51" fillId="0" borderId="11" xfId="9" applyNumberFormat="1" applyBorder="1"/>
    <xf numFmtId="49" fontId="0" fillId="0" borderId="34" xfId="0" applyNumberFormat="1" applyBorder="1"/>
    <xf numFmtId="49" fontId="51" fillId="0" borderId="34" xfId="9" applyNumberFormat="1" applyBorder="1"/>
    <xf numFmtId="0" fontId="52" fillId="10" borderId="0" xfId="0" applyFont="1" applyFill="1"/>
    <xf numFmtId="0" fontId="21" fillId="27" borderId="0" xfId="0" applyFont="1" applyFill="1" applyAlignment="1" applyProtection="1">
      <alignment vertical="center"/>
      <protection locked="0"/>
    </xf>
    <xf numFmtId="0" fontId="0" fillId="0" borderId="28" xfId="0" applyBorder="1" applyAlignment="1" applyProtection="1">
      <alignment horizontal="left"/>
      <protection locked="0"/>
    </xf>
    <xf numFmtId="14" fontId="0" fillId="0" borderId="0" xfId="0" applyNumberFormat="1" applyAlignment="1" applyProtection="1">
      <alignment horizontal="left"/>
      <protection locked="0"/>
    </xf>
    <xf numFmtId="0" fontId="0" fillId="0" borderId="11" xfId="0" applyBorder="1" applyAlignment="1" applyProtection="1">
      <alignment horizontal="center"/>
      <protection locked="0"/>
    </xf>
    <xf numFmtId="0" fontId="0" fillId="10" borderId="11" xfId="0" applyFill="1" applyBorder="1" applyAlignment="1" applyProtection="1">
      <alignment horizontal="center"/>
      <protection locked="0"/>
    </xf>
    <xf numFmtId="9" fontId="0" fillId="26" borderId="11" xfId="0" applyNumberFormat="1" applyFill="1" applyBorder="1" applyAlignment="1" applyProtection="1">
      <alignment horizontal="center"/>
      <protection locked="0"/>
    </xf>
    <xf numFmtId="0" fontId="0" fillId="13" borderId="11" xfId="0" applyFill="1" applyBorder="1" applyAlignment="1" applyProtection="1">
      <alignment horizontal="center"/>
      <protection locked="0"/>
    </xf>
    <xf numFmtId="0" fontId="0" fillId="17" borderId="11" xfId="0" applyFill="1" applyBorder="1" applyProtection="1">
      <protection locked="0"/>
    </xf>
    <xf numFmtId="10" fontId="0" fillId="17" borderId="11" xfId="8" applyNumberFormat="1" applyFont="1" applyFill="1" applyBorder="1" applyAlignment="1" applyProtection="1">
      <alignment horizontal="center"/>
      <protection locked="0"/>
    </xf>
    <xf numFmtId="176" fontId="36" fillId="15" borderId="0" xfId="5" applyNumberFormat="1" applyFont="1" applyFill="1" applyAlignment="1">
      <alignment horizontal="left"/>
    </xf>
    <xf numFmtId="175" fontId="36" fillId="24" borderId="41" xfId="6" applyNumberFormat="1" applyFont="1" applyFill="1" applyBorder="1" applyAlignment="1" applyProtection="1">
      <alignment horizontal="center"/>
      <protection locked="0"/>
    </xf>
    <xf numFmtId="175" fontId="36" fillId="24" borderId="38" xfId="6" applyNumberFormat="1" applyFont="1" applyFill="1" applyBorder="1" applyAlignment="1" applyProtection="1">
      <alignment horizontal="center"/>
      <protection locked="0"/>
    </xf>
    <xf numFmtId="0" fontId="3" fillId="0" borderId="0" xfId="5" applyAlignment="1">
      <alignment horizontal="center"/>
    </xf>
    <xf numFmtId="0" fontId="3" fillId="0" borderId="31" xfId="5" applyBorder="1" applyAlignment="1">
      <alignment horizontal="center"/>
    </xf>
    <xf numFmtId="0" fontId="33" fillId="0" borderId="0" xfId="5" applyFont="1" applyAlignment="1">
      <alignment horizontal="center"/>
    </xf>
    <xf numFmtId="0" fontId="32" fillId="15" borderId="33" xfId="5" applyFont="1" applyFill="1" applyBorder="1" applyAlignment="1">
      <alignment horizontal="center"/>
    </xf>
    <xf numFmtId="0" fontId="36" fillId="15" borderId="38" xfId="5" applyFont="1" applyFill="1" applyBorder="1" applyAlignment="1">
      <alignment horizontal="center"/>
    </xf>
    <xf numFmtId="0" fontId="36" fillId="15" borderId="0" xfId="5" applyFont="1" applyFill="1" applyAlignment="1">
      <alignment horizontal="center"/>
    </xf>
    <xf numFmtId="0" fontId="3" fillId="15" borderId="0" xfId="5" applyFill="1" applyAlignment="1">
      <alignment horizontal="center"/>
    </xf>
    <xf numFmtId="0" fontId="32" fillId="0" borderId="0" xfId="5" applyFont="1" applyAlignment="1">
      <alignment horizontal="center"/>
    </xf>
    <xf numFmtId="0" fontId="36" fillId="15" borderId="33" xfId="5" applyFont="1" applyFill="1" applyBorder="1" applyAlignment="1">
      <alignment horizontal="center"/>
    </xf>
    <xf numFmtId="175" fontId="36" fillId="10" borderId="0" xfId="6" applyNumberFormat="1" applyFont="1" applyFill="1" applyBorder="1" applyAlignment="1" applyProtection="1">
      <alignment horizontal="center"/>
    </xf>
    <xf numFmtId="0" fontId="3" fillId="0" borderId="35" xfId="5" applyBorder="1" applyAlignment="1">
      <alignment horizontal="center"/>
    </xf>
    <xf numFmtId="175" fontId="36" fillId="24" borderId="35" xfId="6" applyNumberFormat="1" applyFont="1" applyFill="1" applyBorder="1" applyAlignment="1" applyProtection="1">
      <alignment horizontal="center"/>
      <protection locked="0"/>
    </xf>
    <xf numFmtId="0" fontId="3" fillId="0" borderId="38" xfId="5" applyBorder="1" applyAlignment="1">
      <alignment horizontal="center"/>
    </xf>
    <xf numFmtId="0" fontId="3" fillId="0" borderId="0" xfId="10"/>
    <xf numFmtId="0" fontId="3" fillId="0" borderId="11" xfId="10" applyBorder="1" applyAlignment="1">
      <alignment horizontal="center" vertical="center"/>
    </xf>
    <xf numFmtId="0" fontId="3" fillId="0" borderId="11" xfId="10" applyBorder="1" applyAlignment="1">
      <alignment horizontal="center" vertical="center" wrapText="1"/>
    </xf>
    <xf numFmtId="0" fontId="3" fillId="0" borderId="11" xfId="10" applyBorder="1" applyAlignment="1">
      <alignment horizontal="center"/>
    </xf>
    <xf numFmtId="9" fontId="0" fillId="0" borderId="11" xfId="11" applyFont="1" applyBorder="1" applyAlignment="1">
      <alignment horizontal="center"/>
    </xf>
    <xf numFmtId="0" fontId="3" fillId="13" borderId="11" xfId="10" applyFill="1" applyBorder="1" applyAlignment="1">
      <alignment horizontal="center"/>
    </xf>
    <xf numFmtId="0" fontId="3" fillId="0" borderId="0" xfId="10" applyAlignment="1">
      <alignment horizontal="center"/>
    </xf>
    <xf numFmtId="0" fontId="3" fillId="0" borderId="11" xfId="10" applyBorder="1"/>
    <xf numFmtId="0" fontId="3" fillId="0" borderId="42" xfId="10" applyBorder="1"/>
    <xf numFmtId="0" fontId="3" fillId="24" borderId="11" xfId="10" applyFill="1" applyBorder="1" applyAlignment="1">
      <alignment horizontal="center"/>
    </xf>
    <xf numFmtId="0" fontId="3" fillId="21" borderId="11" xfId="10" applyFill="1" applyBorder="1" applyAlignment="1">
      <alignment horizontal="center"/>
    </xf>
    <xf numFmtId="2" fontId="54" fillId="10" borderId="11" xfId="10" applyNumberFormat="1" applyFont="1" applyFill="1" applyBorder="1"/>
    <xf numFmtId="2" fontId="3" fillId="10" borderId="11" xfId="10" applyNumberFormat="1" applyFill="1" applyBorder="1"/>
    <xf numFmtId="2" fontId="3" fillId="0" borderId="11" xfId="10" applyNumberFormat="1" applyBorder="1"/>
    <xf numFmtId="2" fontId="3" fillId="24" borderId="11" xfId="10" applyNumberFormat="1" applyFill="1" applyBorder="1"/>
    <xf numFmtId="0" fontId="28" fillId="0" borderId="0" xfId="10" applyFont="1"/>
    <xf numFmtId="0" fontId="3" fillId="0" borderId="0" xfId="10" applyAlignment="1">
      <alignment horizontal="left" indent="1"/>
    </xf>
    <xf numFmtId="0" fontId="55" fillId="18" borderId="16" xfId="5" applyFont="1" applyFill="1" applyBorder="1"/>
    <xf numFmtId="0" fontId="2" fillId="28" borderId="11" xfId="0" applyFont="1" applyFill="1" applyBorder="1" applyAlignment="1">
      <alignment horizontal="center"/>
    </xf>
    <xf numFmtId="2" fontId="2" fillId="28" borderId="11" xfId="0" applyNumberFormat="1" applyFont="1" applyFill="1" applyBorder="1" applyAlignment="1">
      <alignment horizontal="center"/>
    </xf>
    <xf numFmtId="165" fontId="2" fillId="28" borderId="11" xfId="1" applyFont="1" applyFill="1" applyBorder="1" applyAlignment="1">
      <alignment horizontal="center"/>
    </xf>
    <xf numFmtId="1" fontId="2" fillId="28" borderId="11" xfId="0" applyNumberFormat="1" applyFont="1" applyFill="1" applyBorder="1" applyAlignment="1">
      <alignment horizontal="center"/>
    </xf>
    <xf numFmtId="1" fontId="14" fillId="0" borderId="8" xfId="13" applyNumberFormat="1" applyFont="1" applyBorder="1" applyAlignment="1">
      <alignment horizontal="center" vertical="center"/>
    </xf>
    <xf numFmtId="0" fontId="15" fillId="0" borderId="8" xfId="13" applyFont="1" applyBorder="1" applyAlignment="1">
      <alignment vertical="center"/>
    </xf>
    <xf numFmtId="2" fontId="16" fillId="0" borderId="8" xfId="13" applyNumberFormat="1" applyFont="1" applyBorder="1" applyAlignment="1">
      <alignment horizontal="center" vertical="center"/>
    </xf>
    <xf numFmtId="2" fontId="59" fillId="0" borderId="8" xfId="13" applyNumberFormat="1" applyFont="1" applyBorder="1" applyAlignment="1">
      <alignment horizontal="center" vertical="center"/>
    </xf>
    <xf numFmtId="1" fontId="14" fillId="0" borderId="16" xfId="13" applyNumberFormat="1" applyFont="1" applyBorder="1" applyAlignment="1">
      <alignment horizontal="center" vertical="center"/>
    </xf>
    <xf numFmtId="0" fontId="15" fillId="0" borderId="16" xfId="13" applyFont="1" applyBorder="1" applyAlignment="1">
      <alignment vertical="center"/>
    </xf>
    <xf numFmtId="2" fontId="16" fillId="0" borderId="16" xfId="13" applyNumberFormat="1" applyFont="1" applyBorder="1" applyAlignment="1">
      <alignment horizontal="center" vertical="center"/>
    </xf>
    <xf numFmtId="2" fontId="59" fillId="0" borderId="16" xfId="13" applyNumberFormat="1" applyFont="1" applyBorder="1" applyAlignment="1">
      <alignment horizontal="center" vertical="center"/>
    </xf>
    <xf numFmtId="1" fontId="14" fillId="0" borderId="0" xfId="13" applyNumberFormat="1" applyFont="1" applyAlignment="1">
      <alignment horizontal="center" vertical="center"/>
    </xf>
    <xf numFmtId="0" fontId="15" fillId="0" borderId="0" xfId="13" applyFont="1" applyAlignment="1">
      <alignment vertical="center"/>
    </xf>
    <xf numFmtId="2" fontId="16" fillId="0" borderId="0" xfId="13" applyNumberFormat="1" applyFont="1" applyAlignment="1">
      <alignment horizontal="center" vertical="center"/>
    </xf>
    <xf numFmtId="2" fontId="59" fillId="0" borderId="0" xfId="13" applyNumberFormat="1" applyFont="1" applyAlignment="1">
      <alignment horizontal="center" vertical="center"/>
    </xf>
    <xf numFmtId="0" fontId="36" fillId="29" borderId="41" xfId="5" applyFont="1" applyFill="1" applyBorder="1" applyProtection="1">
      <protection locked="0"/>
    </xf>
    <xf numFmtId="0" fontId="36" fillId="29" borderId="35" xfId="5" applyFont="1" applyFill="1" applyBorder="1" applyProtection="1">
      <protection locked="0"/>
    </xf>
    <xf numFmtId="0" fontId="36" fillId="29" borderId="38" xfId="5" applyFont="1" applyFill="1" applyBorder="1" applyProtection="1">
      <protection locked="0"/>
    </xf>
    <xf numFmtId="171" fontId="36" fillId="29" borderId="41" xfId="6" applyNumberFormat="1" applyFont="1" applyFill="1" applyBorder="1" applyAlignment="1" applyProtection="1">
      <alignment horizontal="center"/>
      <protection locked="0"/>
    </xf>
    <xf numFmtId="175" fontId="36" fillId="29" borderId="41" xfId="6" applyNumberFormat="1" applyFont="1" applyFill="1" applyBorder="1" applyAlignment="1" applyProtection="1">
      <alignment horizontal="center"/>
      <protection locked="0"/>
    </xf>
    <xf numFmtId="1" fontId="3" fillId="29" borderId="41" xfId="5" applyNumberFormat="1" applyFill="1" applyBorder="1" applyAlignment="1" applyProtection="1">
      <alignment horizontal="center"/>
      <protection locked="0"/>
    </xf>
    <xf numFmtId="1" fontId="3" fillId="29" borderId="0" xfId="5" applyNumberFormat="1" applyFill="1" applyAlignment="1" applyProtection="1">
      <alignment horizontal="center"/>
      <protection locked="0"/>
    </xf>
    <xf numFmtId="0" fontId="23" fillId="10" borderId="0" xfId="5" applyFont="1" applyFill="1" applyAlignment="1">
      <alignment horizontal="center"/>
    </xf>
    <xf numFmtId="0" fontId="36" fillId="15" borderId="34" xfId="5" applyFont="1" applyFill="1" applyBorder="1"/>
    <xf numFmtId="0" fontId="37" fillId="15" borderId="33" xfId="5" applyFont="1" applyFill="1" applyBorder="1" applyAlignment="1">
      <alignment horizontal="center"/>
    </xf>
    <xf numFmtId="0" fontId="3" fillId="15" borderId="37" xfId="5" applyFill="1" applyBorder="1" applyAlignment="1">
      <alignment horizontal="center"/>
    </xf>
    <xf numFmtId="171" fontId="36" fillId="10" borderId="41" xfId="6" applyNumberFormat="1" applyFont="1" applyFill="1" applyBorder="1" applyAlignment="1" applyProtection="1">
      <alignment horizontal="center"/>
    </xf>
    <xf numFmtId="172" fontId="36" fillId="15" borderId="40" xfId="5" applyNumberFormat="1" applyFont="1" applyFill="1" applyBorder="1"/>
    <xf numFmtId="173" fontId="36" fillId="10" borderId="41" xfId="6" applyNumberFormat="1" applyFont="1" applyFill="1" applyBorder="1" applyAlignment="1" applyProtection="1">
      <alignment horizontal="center"/>
    </xf>
    <xf numFmtId="174" fontId="36" fillId="18" borderId="16" xfId="6" applyNumberFormat="1" applyFont="1" applyFill="1" applyBorder="1" applyAlignment="1" applyProtection="1">
      <alignment horizontal="center"/>
    </xf>
    <xf numFmtId="172" fontId="36" fillId="18" borderId="16" xfId="5" applyNumberFormat="1" applyFont="1" applyFill="1" applyBorder="1"/>
    <xf numFmtId="170" fontId="36" fillId="18" borderId="42" xfId="5" applyNumberFormat="1" applyFont="1" applyFill="1" applyBorder="1"/>
    <xf numFmtId="170" fontId="36" fillId="15" borderId="40" xfId="5" applyNumberFormat="1" applyFont="1" applyFill="1" applyBorder="1"/>
    <xf numFmtId="170" fontId="36" fillId="15" borderId="34" xfId="5" applyNumberFormat="1" applyFont="1" applyFill="1" applyBorder="1"/>
    <xf numFmtId="170" fontId="36" fillId="15" borderId="37" xfId="5" applyNumberFormat="1" applyFont="1" applyFill="1" applyBorder="1"/>
    <xf numFmtId="0" fontId="38" fillId="15" borderId="0" xfId="5" applyFont="1" applyFill="1" applyAlignment="1">
      <alignment horizontal="center"/>
    </xf>
    <xf numFmtId="0" fontId="36" fillId="15" borderId="44" xfId="5" applyFont="1" applyFill="1" applyBorder="1"/>
    <xf numFmtId="0" fontId="38" fillId="15" borderId="14" xfId="5" applyFont="1" applyFill="1" applyBorder="1" applyAlignment="1">
      <alignment horizontal="center"/>
    </xf>
    <xf numFmtId="170" fontId="39" fillId="15" borderId="45" xfId="5" applyNumberFormat="1" applyFont="1" applyFill="1" applyBorder="1"/>
    <xf numFmtId="0" fontId="36" fillId="15" borderId="19" xfId="5" applyFont="1" applyFill="1" applyBorder="1"/>
    <xf numFmtId="170" fontId="39" fillId="15" borderId="15" xfId="5" applyNumberFormat="1" applyFont="1" applyFill="1" applyBorder="1"/>
    <xf numFmtId="9" fontId="36" fillId="15" borderId="19" xfId="3" applyFont="1" applyFill="1" applyBorder="1" applyAlignment="1" applyProtection="1">
      <alignment horizontal="left"/>
    </xf>
    <xf numFmtId="9" fontId="38" fillId="15" borderId="0" xfId="3" applyFont="1" applyFill="1" applyBorder="1" applyAlignment="1" applyProtection="1">
      <alignment horizontal="left"/>
    </xf>
    <xf numFmtId="170" fontId="36" fillId="15" borderId="15" xfId="5" applyNumberFormat="1" applyFont="1" applyFill="1" applyBorder="1"/>
    <xf numFmtId="0" fontId="36" fillId="15" borderId="19" xfId="5" applyFont="1" applyFill="1" applyBorder="1" applyAlignment="1">
      <alignment horizontal="left"/>
    </xf>
    <xf numFmtId="0" fontId="40" fillId="15" borderId="0" xfId="5" applyFont="1" applyFill="1"/>
    <xf numFmtId="0" fontId="39" fillId="16" borderId="1" xfId="5" applyFont="1" applyFill="1" applyBorder="1"/>
    <xf numFmtId="0" fontId="40" fillId="16" borderId="2" xfId="5" applyFont="1" applyFill="1" applyBorder="1"/>
    <xf numFmtId="170" fontId="39" fillId="16" borderId="3" xfId="5" applyNumberFormat="1" applyFont="1" applyFill="1" applyBorder="1"/>
    <xf numFmtId="1" fontId="44" fillId="0" borderId="0" xfId="3" applyNumberFormat="1" applyFont="1" applyFill="1" applyBorder="1" applyAlignment="1" applyProtection="1">
      <alignment horizontal="left"/>
    </xf>
    <xf numFmtId="177" fontId="41" fillId="0" borderId="0" xfId="7" applyFont="1" applyFill="1" applyBorder="1" applyAlignment="1" applyProtection="1">
      <alignment horizontal="left"/>
    </xf>
    <xf numFmtId="179" fontId="49" fillId="10" borderId="0" xfId="5" applyNumberFormat="1" applyFont="1" applyFill="1"/>
    <xf numFmtId="0" fontId="32" fillId="10" borderId="0" xfId="5" applyFont="1" applyFill="1" applyAlignment="1">
      <alignment horizontal="center"/>
    </xf>
    <xf numFmtId="0" fontId="0" fillId="0" borderId="0" xfId="0" applyAlignment="1">
      <alignment vertical="center" wrapText="1"/>
    </xf>
    <xf numFmtId="172" fontId="36" fillId="15" borderId="34" xfId="5" applyNumberFormat="1" applyFont="1" applyFill="1" applyBorder="1"/>
    <xf numFmtId="172" fontId="36" fillId="15" borderId="37" xfId="5" applyNumberFormat="1" applyFont="1" applyFill="1" applyBorder="1"/>
    <xf numFmtId="0" fontId="3" fillId="0" borderId="37" xfId="5" applyBorder="1"/>
    <xf numFmtId="171" fontId="36" fillId="10" borderId="0" xfId="6" applyNumberFormat="1" applyFont="1" applyFill="1" applyBorder="1" applyAlignment="1" applyProtection="1">
      <alignment horizontal="center"/>
    </xf>
    <xf numFmtId="173" fontId="36" fillId="10" borderId="0" xfId="6" applyNumberFormat="1" applyFont="1" applyFill="1" applyBorder="1" applyAlignment="1" applyProtection="1">
      <alignment horizontal="center"/>
    </xf>
    <xf numFmtId="0" fontId="0" fillId="0" borderId="0" xfId="0" applyAlignment="1">
      <alignment horizontal="center" vertical="center"/>
    </xf>
    <xf numFmtId="0" fontId="0" fillId="0" borderId="0" xfId="0" applyAlignment="1">
      <alignment vertical="center"/>
    </xf>
    <xf numFmtId="0" fontId="2" fillId="0" borderId="47" xfId="0" applyFont="1" applyBorder="1" applyAlignment="1">
      <alignment horizontal="left" vertical="center" wrapText="1" indent="1"/>
    </xf>
    <xf numFmtId="0" fontId="2" fillId="0" borderId="47" xfId="0" applyFont="1" applyBorder="1" applyAlignment="1">
      <alignment horizontal="left" vertical="center" wrapText="1"/>
    </xf>
    <xf numFmtId="9" fontId="63" fillId="0" borderId="47" xfId="8" applyFont="1" applyBorder="1" applyAlignment="1">
      <alignment horizontal="left" vertical="center" wrapText="1"/>
    </xf>
    <xf numFmtId="0" fontId="65" fillId="0" borderId="47" xfId="0" applyFont="1" applyBorder="1" applyAlignment="1">
      <alignment horizontal="left" vertical="center" wrapText="1" indent="1"/>
    </xf>
    <xf numFmtId="0" fontId="65" fillId="12" borderId="47" xfId="0" applyFont="1" applyFill="1" applyBorder="1" applyAlignment="1">
      <alignment horizontal="center" vertical="top" wrapText="1"/>
    </xf>
    <xf numFmtId="0" fontId="65" fillId="11" borderId="47" xfId="0" applyFont="1" applyFill="1" applyBorder="1" applyAlignment="1">
      <alignment horizontal="center" vertical="top" wrapText="1"/>
    </xf>
    <xf numFmtId="0" fontId="2" fillId="0" borderId="2" xfId="0" applyFont="1" applyBorder="1" applyAlignment="1">
      <alignment horizontal="left" vertical="top" wrapText="1"/>
    </xf>
    <xf numFmtId="168" fontId="63" fillId="32" borderId="48" xfId="0" applyNumberFormat="1" applyFont="1" applyFill="1" applyBorder="1" applyAlignment="1">
      <alignment horizontal="center" vertical="center" wrapText="1"/>
    </xf>
    <xf numFmtId="168" fontId="63" fillId="14" borderId="8" xfId="0" applyNumberFormat="1" applyFont="1" applyFill="1" applyBorder="1" applyAlignment="1">
      <alignment horizontal="center" vertical="center" wrapText="1"/>
    </xf>
    <xf numFmtId="168" fontId="63" fillId="14" borderId="16" xfId="0" applyNumberFormat="1" applyFont="1" applyFill="1" applyBorder="1" applyAlignment="1">
      <alignment horizontal="center" vertical="center" wrapText="1"/>
    </xf>
    <xf numFmtId="168" fontId="63" fillId="32" borderId="49" xfId="0" applyNumberFormat="1" applyFont="1" applyFill="1" applyBorder="1" applyAlignment="1">
      <alignment horizontal="center" vertical="center" wrapText="1"/>
    </xf>
    <xf numFmtId="168" fontId="63" fillId="14" borderId="23" xfId="0" applyNumberFormat="1" applyFont="1" applyFill="1" applyBorder="1" applyAlignment="1">
      <alignment horizontal="center" vertical="center" wrapText="1"/>
    </xf>
    <xf numFmtId="168" fontId="63" fillId="32" borderId="50" xfId="0" applyNumberFormat="1" applyFont="1" applyFill="1" applyBorder="1" applyAlignment="1">
      <alignment horizontal="center" vertical="center" wrapText="1"/>
    </xf>
    <xf numFmtId="168" fontId="63" fillId="33" borderId="53" xfId="0" applyNumberFormat="1" applyFont="1" applyFill="1" applyBorder="1" applyAlignment="1">
      <alignment horizontal="center" vertical="center" wrapText="1"/>
    </xf>
    <xf numFmtId="168" fontId="63" fillId="34" borderId="53" xfId="0" applyNumberFormat="1" applyFont="1" applyFill="1" applyBorder="1" applyAlignment="1">
      <alignment horizontal="center" vertical="center" wrapText="1"/>
    </xf>
    <xf numFmtId="168" fontId="63" fillId="34" borderId="33" xfId="0" applyNumberFormat="1" applyFont="1" applyFill="1" applyBorder="1" applyAlignment="1">
      <alignment horizontal="center" vertical="center" wrapText="1"/>
    </xf>
    <xf numFmtId="168" fontId="63" fillId="17" borderId="16" xfId="0" applyNumberFormat="1" applyFont="1" applyFill="1" applyBorder="1" applyAlignment="1">
      <alignment horizontal="center" vertical="center" wrapText="1"/>
    </xf>
    <xf numFmtId="168" fontId="63" fillId="33" borderId="49" xfId="0" applyNumberFormat="1" applyFont="1" applyFill="1" applyBorder="1" applyAlignment="1">
      <alignment horizontal="center" vertical="center" wrapText="1"/>
    </xf>
    <xf numFmtId="168" fontId="63" fillId="33" borderId="16" xfId="0" applyNumberFormat="1" applyFont="1" applyFill="1" applyBorder="1" applyAlignment="1">
      <alignment horizontal="center" vertical="center" wrapText="1"/>
    </xf>
    <xf numFmtId="168" fontId="63" fillId="33" borderId="50" xfId="0" applyNumberFormat="1" applyFont="1" applyFill="1" applyBorder="1" applyAlignment="1">
      <alignment horizontal="center" vertical="center" wrapText="1"/>
    </xf>
    <xf numFmtId="168" fontId="63" fillId="33" borderId="23" xfId="0" applyNumberFormat="1" applyFont="1" applyFill="1" applyBorder="1" applyAlignment="1">
      <alignment horizontal="center" vertical="center" wrapText="1"/>
    </xf>
    <xf numFmtId="0" fontId="0" fillId="0" borderId="41" xfId="0" applyBorder="1"/>
    <xf numFmtId="0" fontId="0" fillId="0" borderId="43" xfId="0" applyBorder="1"/>
    <xf numFmtId="0" fontId="0" fillId="10" borderId="41" xfId="0" applyFill="1" applyBorder="1"/>
    <xf numFmtId="0" fontId="0" fillId="0" borderId="38" xfId="0" applyBorder="1"/>
    <xf numFmtId="0" fontId="0" fillId="0" borderId="33" xfId="0" applyBorder="1"/>
    <xf numFmtId="0" fontId="0" fillId="0" borderId="39" xfId="0" applyBorder="1"/>
    <xf numFmtId="169" fontId="63" fillId="14" borderId="49" xfId="0" applyNumberFormat="1" applyFont="1" applyFill="1" applyBorder="1" applyAlignment="1">
      <alignment horizontal="center" vertical="center" wrapText="1"/>
    </xf>
    <xf numFmtId="169" fontId="63" fillId="14" borderId="50" xfId="0" applyNumberFormat="1" applyFont="1" applyFill="1" applyBorder="1" applyAlignment="1">
      <alignment horizontal="center" vertical="center" wrapText="1"/>
    </xf>
    <xf numFmtId="169" fontId="63" fillId="14" borderId="48" xfId="0" applyNumberFormat="1" applyFont="1" applyFill="1" applyBorder="1" applyAlignment="1">
      <alignment horizontal="center" vertical="center" wrapText="1"/>
    </xf>
    <xf numFmtId="169" fontId="63" fillId="32" borderId="48" xfId="0" applyNumberFormat="1" applyFont="1" applyFill="1" applyBorder="1" applyAlignment="1">
      <alignment horizontal="center" vertical="center" wrapText="1"/>
    </xf>
    <xf numFmtId="0" fontId="47" fillId="10" borderId="0" xfId="5" applyFont="1" applyFill="1"/>
    <xf numFmtId="0" fontId="47" fillId="10" borderId="0" xfId="5" applyFont="1" applyFill="1" applyAlignment="1">
      <alignment vertical="center"/>
    </xf>
    <xf numFmtId="0" fontId="68" fillId="10" borderId="0" xfId="0" applyFont="1" applyFill="1"/>
    <xf numFmtId="0" fontId="7" fillId="6" borderId="18" xfId="13" applyFont="1" applyFill="1" applyBorder="1" applyAlignment="1">
      <alignment vertical="center"/>
    </xf>
    <xf numFmtId="0" fontId="6" fillId="6" borderId="1" xfId="13" applyFont="1" applyFill="1" applyBorder="1" applyAlignment="1">
      <alignment vertical="center"/>
    </xf>
    <xf numFmtId="0" fontId="7" fillId="6" borderId="2" xfId="13" applyFont="1" applyFill="1" applyBorder="1" applyAlignment="1">
      <alignment vertical="center"/>
    </xf>
    <xf numFmtId="0" fontId="69" fillId="6" borderId="2" xfId="13" applyFont="1" applyFill="1" applyBorder="1" applyAlignment="1">
      <alignment vertical="center"/>
    </xf>
    <xf numFmtId="0" fontId="7" fillId="6" borderId="2" xfId="1" applyNumberFormat="1" applyFont="1" applyFill="1" applyBorder="1" applyAlignment="1">
      <alignment vertical="center"/>
    </xf>
    <xf numFmtId="182" fontId="7" fillId="6" borderId="3" xfId="6" applyNumberFormat="1" applyFont="1" applyFill="1" applyBorder="1" applyAlignment="1">
      <alignment vertical="center"/>
    </xf>
    <xf numFmtId="0" fontId="5" fillId="0" borderId="7" xfId="13" applyFont="1" applyBorder="1" applyAlignment="1">
      <alignment horizontal="center" vertical="center"/>
    </xf>
    <xf numFmtId="0" fontId="1" fillId="0" borderId="8" xfId="1" applyNumberFormat="1" applyFont="1" applyBorder="1"/>
    <xf numFmtId="0" fontId="5" fillId="0" borderId="13" xfId="13" applyFont="1" applyBorder="1" applyAlignment="1">
      <alignment horizontal="center" vertical="center"/>
    </xf>
    <xf numFmtId="0" fontId="1" fillId="0" borderId="16" xfId="1" applyNumberFormat="1" applyFont="1" applyBorder="1"/>
    <xf numFmtId="166" fontId="2" fillId="0" borderId="17" xfId="6" applyFont="1" applyBorder="1"/>
    <xf numFmtId="0" fontId="7" fillId="6" borderId="1" xfId="13" applyFont="1" applyFill="1" applyBorder="1" applyAlignment="1">
      <alignment vertical="center"/>
    </xf>
    <xf numFmtId="166" fontId="7" fillId="6" borderId="3" xfId="6" applyFont="1" applyFill="1" applyBorder="1" applyAlignment="1">
      <alignment vertical="center"/>
    </xf>
    <xf numFmtId="0" fontId="70" fillId="13" borderId="13" xfId="13" applyFont="1" applyFill="1" applyBorder="1" applyAlignment="1">
      <alignment horizontal="center" vertical="center"/>
    </xf>
    <xf numFmtId="1" fontId="70" fillId="13" borderId="16" xfId="13" applyNumberFormat="1" applyFont="1" applyFill="1" applyBorder="1" applyAlignment="1">
      <alignment horizontal="center" vertical="center"/>
    </xf>
    <xf numFmtId="0" fontId="13" fillId="13" borderId="16" xfId="13" applyFont="1" applyFill="1" applyBorder="1" applyAlignment="1">
      <alignment vertical="center"/>
    </xf>
    <xf numFmtId="0" fontId="5" fillId="0" borderId="19" xfId="13" applyFont="1" applyBorder="1" applyAlignment="1">
      <alignment horizontal="center" vertical="center"/>
    </xf>
    <xf numFmtId="0" fontId="1" fillId="0" borderId="0" xfId="1" applyNumberFormat="1" applyFont="1"/>
    <xf numFmtId="0" fontId="1" fillId="0" borderId="19" xfId="13" applyBorder="1"/>
    <xf numFmtId="0" fontId="1" fillId="0" borderId="0" xfId="13"/>
    <xf numFmtId="0" fontId="71" fillId="0" borderId="0" xfId="13" applyFont="1"/>
    <xf numFmtId="166" fontId="2" fillId="0" borderId="15" xfId="6" applyFont="1" applyBorder="1"/>
    <xf numFmtId="0" fontId="1" fillId="0" borderId="18" xfId="13" applyBorder="1"/>
    <xf numFmtId="0" fontId="1" fillId="0" borderId="20" xfId="13" applyBorder="1"/>
    <xf numFmtId="0" fontId="71" fillId="0" borderId="20" xfId="13" applyFont="1" applyBorder="1"/>
    <xf numFmtId="0" fontId="1" fillId="0" borderId="20" xfId="1" applyNumberFormat="1" applyFont="1" applyBorder="1"/>
    <xf numFmtId="166" fontId="2" fillId="0" borderId="21" xfId="6" applyFont="1" applyBorder="1"/>
    <xf numFmtId="0" fontId="6" fillId="6" borderId="2" xfId="13" applyFont="1" applyFill="1" applyBorder="1" applyAlignment="1">
      <alignment vertical="center"/>
    </xf>
    <xf numFmtId="0" fontId="5" fillId="3" borderId="1" xfId="13" applyFont="1" applyFill="1" applyBorder="1" applyAlignment="1">
      <alignment horizontal="center" vertical="center"/>
    </xf>
    <xf numFmtId="0" fontId="6" fillId="3" borderId="2" xfId="13" applyFont="1" applyFill="1" applyBorder="1" applyAlignment="1">
      <alignment horizontal="center" vertical="center"/>
    </xf>
    <xf numFmtId="0" fontId="7" fillId="3" borderId="2" xfId="13" applyFont="1" applyFill="1" applyBorder="1" applyAlignment="1">
      <alignment vertical="center"/>
    </xf>
    <xf numFmtId="0" fontId="8" fillId="3" borderId="2" xfId="13" applyFont="1" applyFill="1" applyBorder="1" applyAlignment="1">
      <alignment horizontal="center" vertical="center"/>
    </xf>
    <xf numFmtId="0" fontId="72" fillId="3" borderId="2" xfId="13" applyFont="1" applyFill="1" applyBorder="1" applyAlignment="1">
      <alignment vertical="center"/>
    </xf>
    <xf numFmtId="0" fontId="9" fillId="4" borderId="2" xfId="1" applyNumberFormat="1" applyFont="1" applyFill="1" applyBorder="1" applyAlignment="1">
      <alignment horizontal="center" vertical="center"/>
    </xf>
    <xf numFmtId="0" fontId="7" fillId="5" borderId="2" xfId="1" applyNumberFormat="1" applyFont="1" applyFill="1" applyBorder="1" applyAlignment="1">
      <alignment horizontal="center" vertical="center"/>
    </xf>
    <xf numFmtId="0" fontId="7" fillId="6" borderId="1" xfId="1" applyNumberFormat="1" applyFont="1" applyFill="1" applyBorder="1" applyAlignment="1">
      <alignment horizontal="center" vertical="center"/>
    </xf>
    <xf numFmtId="0" fontId="7" fillId="7" borderId="2" xfId="1" applyNumberFormat="1" applyFont="1" applyFill="1" applyBorder="1" applyAlignment="1">
      <alignment horizontal="center" vertical="center"/>
    </xf>
    <xf numFmtId="0" fontId="7" fillId="8" borderId="2" xfId="1" applyNumberFormat="1" applyFont="1" applyFill="1" applyBorder="1" applyAlignment="1">
      <alignment horizontal="center" vertical="center"/>
    </xf>
    <xf numFmtId="166" fontId="7" fillId="3" borderId="3" xfId="6" applyFont="1" applyFill="1" applyBorder="1" applyAlignment="1">
      <alignment horizontal="center" vertical="center"/>
    </xf>
    <xf numFmtId="0" fontId="5" fillId="10" borderId="22" xfId="13" applyFont="1" applyFill="1" applyBorder="1" applyAlignment="1">
      <alignment horizontal="center" vertical="center"/>
    </xf>
    <xf numFmtId="1" fontId="14" fillId="10" borderId="23" xfId="13" applyNumberFormat="1" applyFont="1" applyFill="1" applyBorder="1" applyAlignment="1">
      <alignment horizontal="center" vertical="center"/>
    </xf>
    <xf numFmtId="0" fontId="15" fillId="10" borderId="23" xfId="13" applyFont="1" applyFill="1" applyBorder="1" applyAlignment="1">
      <alignment vertical="center"/>
    </xf>
    <xf numFmtId="2" fontId="16" fillId="10" borderId="23" xfId="13" applyNumberFormat="1" applyFont="1" applyFill="1" applyBorder="1" applyAlignment="1">
      <alignment horizontal="center" vertical="center"/>
    </xf>
    <xf numFmtId="2" fontId="59" fillId="10" borderId="23" xfId="13" applyNumberFormat="1" applyFont="1" applyFill="1" applyBorder="1" applyAlignment="1">
      <alignment horizontal="center" vertical="center"/>
    </xf>
    <xf numFmtId="165" fontId="2" fillId="0" borderId="0" xfId="0" applyNumberFormat="1" applyFont="1"/>
    <xf numFmtId="1" fontId="0" fillId="0" borderId="0" xfId="0" applyNumberFormat="1"/>
    <xf numFmtId="166" fontId="0" fillId="0" borderId="11" xfId="0" applyNumberFormat="1" applyBorder="1" applyAlignment="1">
      <alignment horizontal="center"/>
    </xf>
    <xf numFmtId="168" fontId="73" fillId="17" borderId="49" xfId="0" applyNumberFormat="1" applyFont="1" applyFill="1" applyBorder="1" applyAlignment="1">
      <alignment horizontal="center" vertical="center" wrapText="1"/>
    </xf>
    <xf numFmtId="169" fontId="73" fillId="17" borderId="49" xfId="0" applyNumberFormat="1" applyFont="1" applyFill="1" applyBorder="1" applyAlignment="1">
      <alignment horizontal="center" vertical="center" wrapText="1"/>
    </xf>
    <xf numFmtId="0" fontId="54" fillId="0" borderId="43" xfId="5" applyFont="1" applyBorder="1"/>
    <xf numFmtId="0" fontId="54" fillId="0" borderId="36" xfId="5" applyFont="1" applyBorder="1"/>
    <xf numFmtId="0" fontId="54" fillId="0" borderId="39" xfId="5" applyFont="1" applyBorder="1"/>
    <xf numFmtId="0" fontId="3" fillId="0" borderId="34" xfId="5" applyBorder="1" applyAlignment="1">
      <alignment horizontal="center"/>
    </xf>
    <xf numFmtId="2" fontId="0" fillId="0" borderId="11" xfId="0" applyNumberFormat="1" applyBorder="1"/>
    <xf numFmtId="0" fontId="0" fillId="17" borderId="11" xfId="0" applyFill="1" applyBorder="1"/>
    <xf numFmtId="172" fontId="55" fillId="15" borderId="40" xfId="5" applyNumberFormat="1" applyFont="1" applyFill="1" applyBorder="1"/>
    <xf numFmtId="170" fontId="55" fillId="15" borderId="40" xfId="5" applyNumberFormat="1" applyFont="1" applyFill="1" applyBorder="1"/>
    <xf numFmtId="0" fontId="47" fillId="0" borderId="43" xfId="5" applyFont="1" applyBorder="1"/>
    <xf numFmtId="0" fontId="47" fillId="0" borderId="36" xfId="5" applyFont="1" applyBorder="1"/>
    <xf numFmtId="0" fontId="47" fillId="0" borderId="39" xfId="5" applyFont="1" applyBorder="1"/>
    <xf numFmtId="9" fontId="55" fillId="15" borderId="0" xfId="3" applyFont="1" applyFill="1" applyBorder="1" applyAlignment="1" applyProtection="1">
      <alignment horizontal="left"/>
    </xf>
    <xf numFmtId="0" fontId="77" fillId="15" borderId="0" xfId="5" applyFont="1" applyFill="1"/>
    <xf numFmtId="0" fontId="55" fillId="15" borderId="0" xfId="5" applyFont="1" applyFill="1"/>
    <xf numFmtId="0" fontId="55" fillId="15" borderId="0" xfId="5" applyFont="1" applyFill="1" applyAlignment="1">
      <alignment horizontal="center"/>
    </xf>
    <xf numFmtId="176" fontId="55" fillId="15" borderId="0" xfId="5" applyNumberFormat="1" applyFont="1" applyFill="1"/>
    <xf numFmtId="0" fontId="47" fillId="15" borderId="0" xfId="5" applyFont="1" applyFill="1" applyAlignment="1">
      <alignment horizontal="center"/>
    </xf>
    <xf numFmtId="0" fontId="55" fillId="15" borderId="34" xfId="5" applyFont="1" applyFill="1" applyBorder="1"/>
    <xf numFmtId="0" fontId="55" fillId="15" borderId="36" xfId="5" applyFont="1" applyFill="1" applyBorder="1"/>
    <xf numFmtId="0" fontId="47" fillId="15" borderId="33" xfId="5" applyFont="1" applyFill="1" applyBorder="1" applyAlignment="1">
      <alignment horizontal="center"/>
    </xf>
    <xf numFmtId="0" fontId="47" fillId="15" borderId="37" xfId="5" applyFont="1" applyFill="1" applyBorder="1" applyAlignment="1">
      <alignment horizontal="center"/>
    </xf>
    <xf numFmtId="172" fontId="55" fillId="15" borderId="34" xfId="5" applyNumberFormat="1" applyFont="1" applyFill="1" applyBorder="1"/>
    <xf numFmtId="170" fontId="55" fillId="15" borderId="34" xfId="5" applyNumberFormat="1" applyFont="1" applyFill="1" applyBorder="1"/>
    <xf numFmtId="172" fontId="55" fillId="15" borderId="37" xfId="5" applyNumberFormat="1" applyFont="1" applyFill="1" applyBorder="1"/>
    <xf numFmtId="170" fontId="55" fillId="15" borderId="37" xfId="5" applyNumberFormat="1" applyFont="1" applyFill="1" applyBorder="1"/>
    <xf numFmtId="0" fontId="47" fillId="0" borderId="0" xfId="5" applyFont="1"/>
    <xf numFmtId="172" fontId="55" fillId="18" borderId="16" xfId="5" applyNumberFormat="1" applyFont="1" applyFill="1" applyBorder="1"/>
    <xf numFmtId="170" fontId="55" fillId="18" borderId="42" xfId="5" applyNumberFormat="1" applyFont="1" applyFill="1" applyBorder="1"/>
    <xf numFmtId="171" fontId="36" fillId="10" borderId="41" xfId="6" applyNumberFormat="1" applyFont="1" applyFill="1" applyBorder="1" applyAlignment="1" applyProtection="1">
      <alignment horizontal="center"/>
      <protection locked="0"/>
    </xf>
    <xf numFmtId="0" fontId="47" fillId="10" borderId="36" xfId="5" applyFont="1" applyFill="1" applyBorder="1"/>
    <xf numFmtId="0" fontId="47" fillId="10" borderId="43" xfId="5" applyFont="1" applyFill="1" applyBorder="1"/>
    <xf numFmtId="0" fontId="47" fillId="10" borderId="39" xfId="5" applyFont="1" applyFill="1" applyBorder="1"/>
    <xf numFmtId="0" fontId="79" fillId="10" borderId="0" xfId="5" applyFont="1" applyFill="1"/>
    <xf numFmtId="0" fontId="80" fillId="10" borderId="0" xfId="5" applyFont="1" applyFill="1"/>
    <xf numFmtId="0" fontId="81" fillId="10" borderId="0" xfId="0" applyFont="1" applyFill="1"/>
    <xf numFmtId="0" fontId="65" fillId="0" borderId="0" xfId="0" applyFont="1"/>
    <xf numFmtId="9" fontId="0" fillId="0" borderId="0" xfId="0" applyNumberFormat="1"/>
    <xf numFmtId="9" fontId="40" fillId="15" borderId="0" xfId="5" applyNumberFormat="1" applyFont="1" applyFill="1" applyAlignment="1">
      <alignment horizontal="left"/>
    </xf>
    <xf numFmtId="0" fontId="15" fillId="31" borderId="16" xfId="13" applyFont="1" applyFill="1" applyBorder="1" applyAlignment="1">
      <alignment vertical="center"/>
    </xf>
    <xf numFmtId="0" fontId="60" fillId="0" borderId="0" xfId="0" applyFont="1" applyAlignment="1">
      <alignment horizontal="center"/>
    </xf>
    <xf numFmtId="169" fontId="63" fillId="11" borderId="50" xfId="0" applyNumberFormat="1" applyFont="1" applyFill="1" applyBorder="1" applyAlignment="1">
      <alignment horizontal="center" vertical="center" wrapText="1"/>
    </xf>
    <xf numFmtId="0" fontId="82" fillId="10" borderId="0" xfId="0" applyFont="1" applyFill="1"/>
    <xf numFmtId="0" fontId="83" fillId="0" borderId="0" xfId="5" applyFont="1"/>
    <xf numFmtId="0" fontId="83" fillId="10" borderId="0" xfId="5" applyFont="1" applyFill="1"/>
    <xf numFmtId="0" fontId="83" fillId="0" borderId="43" xfId="5" applyFont="1" applyBorder="1"/>
    <xf numFmtId="0" fontId="84" fillId="18" borderId="16" xfId="5" applyFont="1" applyFill="1" applyBorder="1"/>
    <xf numFmtId="0" fontId="83" fillId="10" borderId="36" xfId="5" applyFont="1" applyFill="1" applyBorder="1"/>
    <xf numFmtId="0" fontId="83" fillId="10" borderId="43" xfId="5" applyFont="1" applyFill="1" applyBorder="1"/>
    <xf numFmtId="0" fontId="83" fillId="10" borderId="39" xfId="5" applyFont="1" applyFill="1" applyBorder="1"/>
    <xf numFmtId="176" fontId="55" fillId="15" borderId="0" xfId="5" applyNumberFormat="1" applyFont="1" applyFill="1" applyAlignment="1">
      <alignment horizontal="left"/>
    </xf>
    <xf numFmtId="0" fontId="47" fillId="15" borderId="0" xfId="5" applyFont="1" applyFill="1"/>
    <xf numFmtId="0" fontId="85" fillId="0" borderId="0" xfId="5" applyFont="1"/>
    <xf numFmtId="177" fontId="85" fillId="0" borderId="0" xfId="7" applyFont="1" applyFill="1" applyBorder="1" applyAlignment="1" applyProtection="1">
      <alignment horizontal="left"/>
    </xf>
    <xf numFmtId="0" fontId="77" fillId="10" borderId="0" xfId="5" applyFont="1" applyFill="1"/>
    <xf numFmtId="0" fontId="86" fillId="15" borderId="0" xfId="5" applyFont="1" applyFill="1" applyAlignment="1">
      <alignment horizontal="right"/>
    </xf>
    <xf numFmtId="1" fontId="87" fillId="0" borderId="0" xfId="3" applyNumberFormat="1" applyFont="1" applyFill="1" applyBorder="1" applyAlignment="1" applyProtection="1">
      <alignment horizontal="left"/>
    </xf>
    <xf numFmtId="170" fontId="76" fillId="15" borderId="0" xfId="5" applyNumberFormat="1" applyFont="1" applyFill="1"/>
    <xf numFmtId="170" fontId="55" fillId="15" borderId="0" xfId="5" applyNumberFormat="1" applyFont="1" applyFill="1"/>
    <xf numFmtId="0" fontId="55" fillId="15" borderId="0" xfId="5" applyFont="1" applyFill="1" applyAlignment="1">
      <alignment horizontal="left"/>
    </xf>
    <xf numFmtId="9" fontId="76" fillId="15" borderId="0" xfId="5" applyNumberFormat="1" applyFont="1" applyFill="1" applyAlignment="1">
      <alignment horizontal="left"/>
    </xf>
    <xf numFmtId="0" fontId="55" fillId="10" borderId="0" xfId="5" applyFont="1" applyFill="1"/>
    <xf numFmtId="0" fontId="76" fillId="10" borderId="0" xfId="5" applyFont="1" applyFill="1"/>
    <xf numFmtId="170" fontId="55" fillId="10" borderId="0" xfId="5" applyNumberFormat="1" applyFont="1" applyFill="1"/>
    <xf numFmtId="170" fontId="76" fillId="10" borderId="0" xfId="5" applyNumberFormat="1" applyFont="1" applyFill="1"/>
    <xf numFmtId="0" fontId="78" fillId="10" borderId="0" xfId="5" applyFont="1" applyFill="1"/>
    <xf numFmtId="178" fontId="42" fillId="10" borderId="0" xfId="5" applyNumberFormat="1" applyFont="1" applyFill="1"/>
    <xf numFmtId="9" fontId="55" fillId="10" borderId="0" xfId="3" applyFont="1" applyFill="1" applyBorder="1" applyAlignment="1" applyProtection="1">
      <alignment horizontal="left"/>
    </xf>
    <xf numFmtId="0" fontId="55" fillId="10" borderId="0" xfId="5" applyFont="1" applyFill="1" applyAlignment="1">
      <alignment horizontal="left"/>
    </xf>
    <xf numFmtId="0" fontId="47" fillId="10" borderId="0" xfId="5" applyFont="1" applyFill="1" applyAlignment="1">
      <alignment horizontal="center"/>
    </xf>
    <xf numFmtId="9" fontId="76" fillId="10" borderId="0" xfId="5" applyNumberFormat="1" applyFont="1" applyFill="1" applyAlignment="1">
      <alignment horizontal="left"/>
    </xf>
    <xf numFmtId="178" fontId="78" fillId="10" borderId="0" xfId="5" applyNumberFormat="1" applyFont="1" applyFill="1"/>
    <xf numFmtId="1" fontId="44" fillId="10" borderId="0" xfId="3" applyNumberFormat="1" applyFont="1" applyFill="1" applyBorder="1" applyAlignment="1" applyProtection="1">
      <alignment horizontal="left"/>
    </xf>
    <xf numFmtId="0" fontId="85" fillId="10" borderId="0" xfId="5" applyFont="1" applyFill="1"/>
    <xf numFmtId="177" fontId="85" fillId="10" borderId="0" xfId="7" applyFont="1" applyFill="1" applyBorder="1" applyAlignment="1" applyProtection="1">
      <alignment horizontal="left"/>
    </xf>
    <xf numFmtId="0" fontId="43" fillId="10" borderId="0" xfId="5" applyFont="1" applyFill="1" applyAlignment="1">
      <alignment horizontal="right"/>
    </xf>
    <xf numFmtId="0" fontId="45" fillId="10" borderId="0" xfId="5" applyFont="1" applyFill="1"/>
    <xf numFmtId="177" fontId="41" fillId="10" borderId="0" xfId="7" applyFont="1" applyFill="1" applyBorder="1" applyAlignment="1" applyProtection="1">
      <alignment horizontal="left"/>
    </xf>
    <xf numFmtId="0" fontId="2" fillId="0" borderId="0" xfId="13" applyFont="1"/>
    <xf numFmtId="0" fontId="72" fillId="3" borderId="2" xfId="13" applyFont="1" applyFill="1" applyBorder="1" applyAlignment="1">
      <alignment horizontal="center" vertical="center"/>
    </xf>
    <xf numFmtId="0" fontId="9" fillId="4" borderId="2" xfId="13" applyFont="1" applyFill="1" applyBorder="1" applyAlignment="1">
      <alignment horizontal="center" vertical="center"/>
    </xf>
    <xf numFmtId="0" fontId="7" fillId="5" borderId="2" xfId="13" applyFont="1" applyFill="1" applyBorder="1" applyAlignment="1">
      <alignment horizontal="center" vertical="center"/>
    </xf>
    <xf numFmtId="0" fontId="7" fillId="6" borderId="1" xfId="13" applyFont="1" applyFill="1" applyBorder="1" applyAlignment="1">
      <alignment horizontal="center" vertical="center"/>
    </xf>
    <xf numFmtId="0" fontId="7" fillId="7" borderId="2" xfId="13" applyFont="1" applyFill="1" applyBorder="1" applyAlignment="1">
      <alignment horizontal="center" vertical="center"/>
    </xf>
    <xf numFmtId="0" fontId="7" fillId="8" borderId="2" xfId="13" applyFont="1" applyFill="1" applyBorder="1" applyAlignment="1">
      <alignment horizontal="center" vertical="center"/>
    </xf>
    <xf numFmtId="0" fontId="7" fillId="3" borderId="3" xfId="13" applyFont="1" applyFill="1" applyBorder="1" applyAlignment="1">
      <alignment horizontal="center" vertical="center"/>
    </xf>
    <xf numFmtId="0" fontId="11" fillId="3" borderId="0" xfId="13" applyFont="1" applyFill="1" applyAlignment="1">
      <alignment horizontal="center" vertical="center"/>
    </xf>
    <xf numFmtId="0" fontId="12" fillId="3" borderId="0" xfId="13" applyFont="1" applyFill="1" applyAlignment="1">
      <alignment vertical="center"/>
    </xf>
    <xf numFmtId="0" fontId="12" fillId="3" borderId="0" xfId="13" applyFont="1" applyFill="1" applyAlignment="1">
      <alignment horizontal="center" vertical="center"/>
    </xf>
    <xf numFmtId="0" fontId="88" fillId="3" borderId="0" xfId="13" applyFont="1" applyFill="1" applyAlignment="1">
      <alignment horizontal="center" vertical="center"/>
    </xf>
    <xf numFmtId="10" fontId="9" fillId="4" borderId="14" xfId="14" applyNumberFormat="1" applyFont="1" applyFill="1" applyBorder="1" applyAlignment="1">
      <alignment horizontal="center" vertical="center"/>
    </xf>
    <xf numFmtId="0" fontId="9" fillId="3" borderId="15" xfId="13" applyFont="1" applyFill="1" applyBorder="1" applyAlignment="1">
      <alignment horizontal="center" vertical="center"/>
    </xf>
    <xf numFmtId="1" fontId="89" fillId="0" borderId="16" xfId="13" applyNumberFormat="1" applyFont="1" applyBorder="1" applyAlignment="1">
      <alignment horizontal="center" vertical="center"/>
    </xf>
    <xf numFmtId="2" fontId="1" fillId="0" borderId="16" xfId="13" applyNumberFormat="1" applyBorder="1"/>
    <xf numFmtId="1" fontId="1" fillId="0" borderId="0" xfId="13" applyNumberFormat="1"/>
    <xf numFmtId="1" fontId="70" fillId="13" borderId="0" xfId="13" applyNumberFormat="1" applyFont="1" applyFill="1" applyAlignment="1">
      <alignment horizontal="center" vertical="center"/>
    </xf>
    <xf numFmtId="0" fontId="13" fillId="13" borderId="0" xfId="13" applyFont="1" applyFill="1" applyAlignment="1">
      <alignment vertical="center"/>
    </xf>
    <xf numFmtId="2" fontId="1" fillId="0" borderId="0" xfId="13" applyNumberFormat="1"/>
    <xf numFmtId="2" fontId="1" fillId="0" borderId="8" xfId="13" applyNumberFormat="1" applyBorder="1"/>
    <xf numFmtId="2" fontId="1" fillId="0" borderId="2" xfId="13" applyNumberFormat="1" applyBorder="1"/>
    <xf numFmtId="2" fontId="2" fillId="0" borderId="16" xfId="13" applyNumberFormat="1" applyFont="1" applyBorder="1"/>
    <xf numFmtId="2" fontId="17" fillId="13" borderId="16" xfId="13" applyNumberFormat="1" applyFont="1" applyFill="1" applyBorder="1"/>
    <xf numFmtId="2" fontId="2" fillId="0" borderId="8" xfId="13" applyNumberFormat="1" applyFont="1" applyBorder="1"/>
    <xf numFmtId="0" fontId="2" fillId="0" borderId="20" xfId="13" applyFont="1" applyBorder="1"/>
    <xf numFmtId="0" fontId="7" fillId="3" borderId="2" xfId="13" applyFont="1" applyFill="1" applyBorder="1" applyAlignment="1">
      <alignment horizontal="center" vertical="center"/>
    </xf>
    <xf numFmtId="2" fontId="2" fillId="0" borderId="2" xfId="13" applyNumberFormat="1" applyFont="1" applyBorder="1"/>
    <xf numFmtId="0" fontId="1" fillId="0" borderId="0" xfId="13" applyAlignment="1">
      <alignment horizontal="center"/>
    </xf>
    <xf numFmtId="0" fontId="1" fillId="0" borderId="11" xfId="13" applyBorder="1" applyAlignment="1">
      <alignment horizontal="center"/>
    </xf>
    <xf numFmtId="0" fontId="0" fillId="0" borderId="11" xfId="13" applyFont="1" applyBorder="1" applyAlignment="1">
      <alignment horizontal="center"/>
    </xf>
    <xf numFmtId="0" fontId="7" fillId="6" borderId="2" xfId="13" applyFont="1" applyFill="1" applyBorder="1" applyAlignment="1">
      <alignment horizontal="center" vertical="center"/>
    </xf>
    <xf numFmtId="2" fontId="1" fillId="0" borderId="16" xfId="1" applyNumberFormat="1" applyFont="1" applyBorder="1"/>
    <xf numFmtId="0" fontId="90" fillId="37" borderId="54" xfId="0" applyFont="1" applyFill="1" applyBorder="1" applyAlignment="1">
      <alignment vertical="center" wrapText="1"/>
    </xf>
    <xf numFmtId="0" fontId="51" fillId="37" borderId="55" xfId="9" applyFill="1" applyBorder="1" applyAlignment="1">
      <alignment vertical="center" wrapText="1"/>
    </xf>
    <xf numFmtId="0" fontId="90" fillId="37" borderId="55" xfId="0" applyFont="1" applyFill="1" applyBorder="1" applyAlignment="1">
      <alignment vertical="center" wrapText="1"/>
    </xf>
    <xf numFmtId="0" fontId="90" fillId="36" borderId="54" xfId="0" applyFont="1" applyFill="1" applyBorder="1" applyAlignment="1">
      <alignment vertical="center" wrapText="1"/>
    </xf>
    <xf numFmtId="0" fontId="51" fillId="36" borderId="55" xfId="9" applyFill="1" applyBorder="1" applyAlignment="1">
      <alignment vertical="center" wrapText="1"/>
    </xf>
    <xf numFmtId="0" fontId="90" fillId="36" borderId="55" xfId="0" applyFont="1" applyFill="1" applyBorder="1" applyAlignment="1">
      <alignment vertical="center" wrapText="1"/>
    </xf>
    <xf numFmtId="2" fontId="2" fillId="0" borderId="17" xfId="13" applyNumberFormat="1" applyFont="1" applyBorder="1"/>
    <xf numFmtId="2" fontId="17" fillId="13" borderId="17" xfId="13" applyNumberFormat="1" applyFont="1" applyFill="1" applyBorder="1"/>
    <xf numFmtId="2" fontId="2" fillId="0" borderId="9" xfId="13" applyNumberFormat="1" applyFont="1" applyBorder="1"/>
    <xf numFmtId="2" fontId="2" fillId="13" borderId="17" xfId="0" applyNumberFormat="1" applyFont="1" applyFill="1" applyBorder="1"/>
    <xf numFmtId="0" fontId="21" fillId="0" borderId="0" xfId="0" applyFont="1" applyAlignment="1">
      <alignment horizontal="center" vertical="center" wrapText="1"/>
    </xf>
    <xf numFmtId="0" fontId="22" fillId="0" borderId="0" xfId="0" applyFont="1" applyAlignment="1">
      <alignment horizontal="center" vertical="center"/>
    </xf>
    <xf numFmtId="0" fontId="0" fillId="0" borderId="0" xfId="0" applyAlignment="1">
      <alignment horizontal="center" vertical="center"/>
    </xf>
    <xf numFmtId="0" fontId="0" fillId="0" borderId="28" xfId="0" applyBorder="1" applyAlignment="1" applyProtection="1">
      <alignment horizontal="left"/>
      <protection locked="0"/>
    </xf>
    <xf numFmtId="0" fontId="0" fillId="0" borderId="29" xfId="0" applyBorder="1" applyAlignment="1" applyProtection="1">
      <alignment horizontal="left"/>
      <protection locked="0"/>
    </xf>
    <xf numFmtId="0" fontId="0" fillId="0" borderId="0" xfId="0" applyAlignment="1">
      <alignment horizontal="right"/>
    </xf>
    <xf numFmtId="0" fontId="0" fillId="0" borderId="43" xfId="0" applyBorder="1" applyAlignment="1">
      <alignment horizontal="right"/>
    </xf>
    <xf numFmtId="0" fontId="0" fillId="27" borderId="0" xfId="0" applyFill="1" applyAlignment="1" applyProtection="1">
      <alignment horizontal="left"/>
      <protection locked="0"/>
    </xf>
    <xf numFmtId="0" fontId="2" fillId="0" borderId="0" xfId="0" applyFont="1" applyAlignment="1">
      <alignment horizontal="center"/>
    </xf>
    <xf numFmtId="0" fontId="0" fillId="0" borderId="11" xfId="0" applyBorder="1" applyAlignment="1">
      <alignment horizontal="center"/>
    </xf>
    <xf numFmtId="0" fontId="0" fillId="0" borderId="11" xfId="0" applyBorder="1" applyAlignment="1">
      <alignment horizontal="center" vertical="center"/>
    </xf>
    <xf numFmtId="0" fontId="56" fillId="0" borderId="0" xfId="5" applyFont="1" applyAlignment="1">
      <alignment horizontal="center" wrapText="1"/>
    </xf>
    <xf numFmtId="0" fontId="57" fillId="0" borderId="0" xfId="5" applyFont="1" applyAlignment="1">
      <alignment horizontal="center" wrapText="1"/>
    </xf>
    <xf numFmtId="165" fontId="0" fillId="21" borderId="0" xfId="0" applyNumberFormat="1" applyFill="1" applyAlignment="1">
      <alignment horizontal="center"/>
    </xf>
    <xf numFmtId="0" fontId="0" fillId="21" borderId="0" xfId="0" applyFill="1" applyAlignment="1">
      <alignment horizontal="center"/>
    </xf>
    <xf numFmtId="0" fontId="0" fillId="22" borderId="11" xfId="0" applyFill="1" applyBorder="1" applyAlignment="1">
      <alignment horizontal="center"/>
    </xf>
    <xf numFmtId="0" fontId="0" fillId="22" borderId="30" xfId="0" applyFill="1" applyBorder="1" applyAlignment="1">
      <alignment horizontal="center"/>
    </xf>
    <xf numFmtId="0" fontId="0" fillId="22" borderId="16" xfId="0" applyFill="1" applyBorder="1" applyAlignment="1">
      <alignment horizontal="center"/>
    </xf>
    <xf numFmtId="0" fontId="0" fillId="22" borderId="42" xfId="0" applyFill="1" applyBorder="1" applyAlignment="1">
      <alignment horizontal="center"/>
    </xf>
    <xf numFmtId="165" fontId="0" fillId="21" borderId="33" xfId="0" applyNumberFormat="1" applyFill="1" applyBorder="1" applyAlignment="1">
      <alignment horizontal="center"/>
    </xf>
    <xf numFmtId="0" fontId="0" fillId="22" borderId="0" xfId="0" applyFill="1" applyAlignment="1">
      <alignment horizontal="center"/>
    </xf>
    <xf numFmtId="0" fontId="0" fillId="0" borderId="0" xfId="0" applyAlignment="1">
      <alignment horizontal="center"/>
    </xf>
    <xf numFmtId="0" fontId="0" fillId="11" borderId="0" xfId="0" applyFill="1" applyAlignment="1">
      <alignment horizontal="center"/>
    </xf>
    <xf numFmtId="0" fontId="2" fillId="11" borderId="11" xfId="0" applyFont="1" applyFill="1" applyBorder="1" applyAlignment="1">
      <alignment horizontal="center"/>
    </xf>
    <xf numFmtId="0" fontId="2" fillId="18" borderId="11" xfId="0" applyFont="1" applyFill="1" applyBorder="1" applyAlignment="1">
      <alignment horizontal="center"/>
    </xf>
    <xf numFmtId="0" fontId="2" fillId="17" borderId="11" xfId="0" applyFont="1" applyFill="1" applyBorder="1" applyAlignment="1">
      <alignment horizontal="center"/>
    </xf>
    <xf numFmtId="1" fontId="0" fillId="0" borderId="11" xfId="0" applyNumberFormat="1" applyBorder="1" applyAlignment="1">
      <alignment horizontal="center" vertical="center"/>
    </xf>
    <xf numFmtId="165" fontId="0" fillId="0" borderId="11" xfId="1" applyFont="1" applyBorder="1" applyAlignment="1">
      <alignment horizontal="center" vertical="center"/>
    </xf>
    <xf numFmtId="0" fontId="0" fillId="22" borderId="33" xfId="0" applyFill="1" applyBorder="1" applyAlignment="1">
      <alignment horizontal="center"/>
    </xf>
    <xf numFmtId="0" fontId="0" fillId="17" borderId="33" xfId="0" applyFill="1" applyBorder="1" applyAlignment="1">
      <alignment horizontal="center"/>
    </xf>
    <xf numFmtId="0" fontId="47" fillId="25" borderId="0" xfId="5" applyFont="1" applyFill="1" applyAlignment="1">
      <alignment horizontal="center" vertical="center"/>
    </xf>
    <xf numFmtId="0" fontId="35" fillId="25" borderId="34" xfId="5" applyFont="1" applyFill="1" applyBorder="1" applyAlignment="1">
      <alignment horizontal="center" vertical="center" wrapText="1"/>
    </xf>
    <xf numFmtId="0" fontId="35" fillId="25" borderId="37" xfId="5" applyFont="1" applyFill="1" applyBorder="1" applyAlignment="1">
      <alignment horizontal="center" vertical="center" wrapText="1"/>
    </xf>
    <xf numFmtId="0" fontId="35" fillId="25" borderId="35" xfId="5" applyFont="1" applyFill="1" applyBorder="1" applyAlignment="1">
      <alignment horizontal="center" vertical="center" wrapText="1"/>
    </xf>
    <xf numFmtId="0" fontId="35" fillId="25" borderId="38" xfId="5" applyFont="1" applyFill="1" applyBorder="1" applyAlignment="1">
      <alignment horizontal="center" vertical="center" wrapText="1"/>
    </xf>
    <xf numFmtId="0" fontId="35" fillId="25" borderId="36" xfId="5" applyFont="1" applyFill="1" applyBorder="1" applyAlignment="1">
      <alignment horizontal="center" vertical="center" wrapText="1"/>
    </xf>
    <xf numFmtId="0" fontId="35" fillId="25" borderId="39" xfId="5" applyFont="1" applyFill="1" applyBorder="1" applyAlignment="1">
      <alignment horizontal="center" vertical="center" wrapText="1"/>
    </xf>
    <xf numFmtId="0" fontId="24" fillId="10" borderId="0" xfId="5" applyFont="1" applyFill="1" applyAlignment="1">
      <alignment horizontal="center" vertical="center"/>
    </xf>
    <xf numFmtId="0" fontId="24" fillId="10" borderId="31" xfId="5" applyFont="1" applyFill="1" applyBorder="1" applyAlignment="1">
      <alignment horizontal="center" vertical="center" wrapText="1"/>
    </xf>
    <xf numFmtId="0" fontId="24" fillId="10" borderId="31" xfId="5" applyFont="1" applyFill="1" applyBorder="1" applyAlignment="1">
      <alignment horizontal="center" vertical="center"/>
    </xf>
    <xf numFmtId="0" fontId="0" fillId="0" borderId="0" xfId="0" applyAlignment="1">
      <alignment horizontal="left" vertical="center" wrapText="1"/>
    </xf>
    <xf numFmtId="0" fontId="3" fillId="0" borderId="11" xfId="10" applyBorder="1" applyAlignment="1">
      <alignment horizontal="left"/>
    </xf>
    <xf numFmtId="0" fontId="28" fillId="24" borderId="0" xfId="10" applyFont="1" applyFill="1" applyAlignment="1">
      <alignment horizontal="center"/>
    </xf>
    <xf numFmtId="0" fontId="28" fillId="0" borderId="11" xfId="10" applyFont="1" applyBorder="1" applyAlignment="1">
      <alignment horizontal="center" vertical="center"/>
    </xf>
    <xf numFmtId="0" fontId="3" fillId="0" borderId="11" xfId="10" applyBorder="1" applyAlignment="1">
      <alignment horizontal="center"/>
    </xf>
    <xf numFmtId="9" fontId="3" fillId="0" borderId="11" xfId="10" applyNumberFormat="1" applyBorder="1" applyAlignment="1">
      <alignment horizontal="center"/>
    </xf>
    <xf numFmtId="0" fontId="67" fillId="35" borderId="11" xfId="0" applyFont="1" applyFill="1" applyBorder="1" applyAlignment="1">
      <alignment horizontal="center" vertical="center"/>
    </xf>
    <xf numFmtId="0" fontId="66" fillId="17" borderId="51" xfId="0" applyFont="1" applyFill="1" applyBorder="1" applyAlignment="1">
      <alignment horizontal="left" vertical="center" wrapText="1" indent="2"/>
    </xf>
    <xf numFmtId="0" fontId="66" fillId="17" borderId="52" xfId="0" applyFont="1" applyFill="1" applyBorder="1" applyAlignment="1">
      <alignment horizontal="left" vertical="center" wrapText="1" indent="2"/>
    </xf>
    <xf numFmtId="0" fontId="66" fillId="17" borderId="13" xfId="0" applyFont="1" applyFill="1" applyBorder="1" applyAlignment="1">
      <alignment horizontal="left" vertical="center" wrapText="1" indent="2"/>
    </xf>
    <xf numFmtId="0" fontId="66" fillId="17" borderId="17" xfId="0" applyFont="1" applyFill="1" applyBorder="1" applyAlignment="1">
      <alignment horizontal="left" vertical="center" wrapText="1" indent="2"/>
    </xf>
    <xf numFmtId="0" fontId="66" fillId="17" borderId="22" xfId="0" applyFont="1" applyFill="1" applyBorder="1" applyAlignment="1">
      <alignment horizontal="left" vertical="center" wrapText="1" indent="2"/>
    </xf>
    <xf numFmtId="0" fontId="66" fillId="17" borderId="24" xfId="0" applyFont="1" applyFill="1" applyBorder="1" applyAlignment="1">
      <alignment horizontal="left" vertical="center" wrapText="1" indent="2"/>
    </xf>
    <xf numFmtId="9" fontId="63" fillId="31" borderId="47" xfId="8" applyFont="1" applyFill="1" applyBorder="1" applyAlignment="1">
      <alignment horizontal="center" vertical="top" wrapText="1"/>
    </xf>
    <xf numFmtId="0" fontId="66" fillId="14" borderId="7" xfId="0" applyFont="1" applyFill="1" applyBorder="1" applyAlignment="1">
      <alignment horizontal="left" vertical="center" wrapText="1" indent="2"/>
    </xf>
    <xf numFmtId="0" fontId="66" fillId="14" borderId="9" xfId="0" applyFont="1" applyFill="1" applyBorder="1" applyAlignment="1">
      <alignment horizontal="left" vertical="center" wrapText="1" indent="2"/>
    </xf>
    <xf numFmtId="0" fontId="66" fillId="14" borderId="13" xfId="0" applyFont="1" applyFill="1" applyBorder="1" applyAlignment="1">
      <alignment horizontal="left" vertical="center" wrapText="1" indent="2"/>
    </xf>
    <xf numFmtId="0" fontId="66" fillId="14" borderId="17" xfId="0" applyFont="1" applyFill="1" applyBorder="1" applyAlignment="1">
      <alignment horizontal="left" vertical="center" wrapText="1" indent="2"/>
    </xf>
    <xf numFmtId="0" fontId="66" fillId="14" borderId="22" xfId="0" applyFont="1" applyFill="1" applyBorder="1" applyAlignment="1">
      <alignment horizontal="left" vertical="center" wrapText="1" indent="2"/>
    </xf>
    <xf numFmtId="0" fontId="66" fillId="14" borderId="24" xfId="0" applyFont="1" applyFill="1" applyBorder="1" applyAlignment="1">
      <alignment horizontal="left" vertical="center" wrapText="1" indent="2"/>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61" fillId="0" borderId="1" xfId="0" applyFont="1" applyBorder="1" applyAlignment="1">
      <alignment horizontal="center" vertical="center"/>
    </xf>
    <xf numFmtId="0" fontId="61" fillId="0" borderId="2" xfId="0" applyFont="1" applyBorder="1" applyAlignment="1">
      <alignment horizontal="center" vertical="center"/>
    </xf>
    <xf numFmtId="0" fontId="61" fillId="0" borderId="3" xfId="0" applyFont="1" applyBorder="1" applyAlignment="1">
      <alignment horizontal="center" vertical="center"/>
    </xf>
    <xf numFmtId="0" fontId="62" fillId="0" borderId="47" xfId="0" applyFont="1" applyBorder="1" applyAlignment="1">
      <alignment horizontal="center" vertical="center" wrapText="1"/>
    </xf>
    <xf numFmtId="0" fontId="2" fillId="30" borderId="47" xfId="0" applyFont="1" applyFill="1" applyBorder="1" applyAlignment="1">
      <alignment horizontal="left" vertical="top" wrapText="1"/>
    </xf>
    <xf numFmtId="0" fontId="2" fillId="29" borderId="47" xfId="0" applyFont="1" applyFill="1" applyBorder="1" applyAlignment="1">
      <alignment horizontal="left" vertical="top" wrapText="1"/>
    </xf>
    <xf numFmtId="9" fontId="63" fillId="17" borderId="47" xfId="8" applyFont="1" applyFill="1" applyBorder="1" applyAlignment="1">
      <alignment horizontal="center" vertical="top" wrapText="1"/>
    </xf>
    <xf numFmtId="9" fontId="63" fillId="11" borderId="47" xfId="8" applyFont="1" applyFill="1" applyBorder="1" applyAlignment="1">
      <alignment horizontal="center" vertical="top" wrapText="1"/>
    </xf>
    <xf numFmtId="0" fontId="4" fillId="2" borderId="1" xfId="13" applyFont="1" applyFill="1" applyBorder="1" applyAlignment="1">
      <alignment horizontal="center" vertical="center" wrapText="1"/>
    </xf>
    <xf numFmtId="0" fontId="4" fillId="2" borderId="2" xfId="13" applyFont="1" applyFill="1" applyBorder="1" applyAlignment="1">
      <alignment horizontal="center" vertical="center" wrapText="1"/>
    </xf>
    <xf numFmtId="0" fontId="4" fillId="2" borderId="3" xfId="13" applyFont="1" applyFill="1" applyBorder="1" applyAlignment="1">
      <alignment horizontal="center" vertical="center" wrapText="1"/>
    </xf>
    <xf numFmtId="0" fontId="2" fillId="0" borderId="4" xfId="2" applyFont="1" applyBorder="1" applyAlignment="1">
      <alignment horizontal="center" vertical="center"/>
    </xf>
    <xf numFmtId="0" fontId="2" fillId="0" borderId="5" xfId="2" applyFont="1" applyBorder="1" applyAlignment="1">
      <alignment horizontal="center" vertical="center"/>
    </xf>
    <xf numFmtId="0" fontId="2" fillId="0" borderId="6" xfId="2" applyFont="1" applyBorder="1" applyAlignment="1">
      <alignment horizontal="center" vertical="center"/>
    </xf>
  </cellXfs>
  <cellStyles count="15">
    <cellStyle name="Hipervínculo" xfId="9" builtinId="8"/>
    <cellStyle name="Hipervínculo 2" xfId="12" xr:uid="{E6B6EAD0-D877-4590-B87F-51A46290FA07}"/>
    <cellStyle name="Millares 2" xfId="6" xr:uid="{819C9CA0-F644-48C6-AB27-F23ABFACB2F4}"/>
    <cellStyle name="Moneda" xfId="1" builtinId="4"/>
    <cellStyle name="Moneda 2" xfId="7" xr:uid="{041F4268-12F5-4D0A-AA74-978D313425EA}"/>
    <cellStyle name="Normal" xfId="0" builtinId="0"/>
    <cellStyle name="Normal 2" xfId="5" xr:uid="{2B55B46A-7F40-45FB-9B38-46A3AE7654E9}"/>
    <cellStyle name="Normal 2 2" xfId="10" xr:uid="{E216800C-D4BF-4F67-B334-847488846A39}"/>
    <cellStyle name="Normal 8" xfId="2" xr:uid="{B9439AD6-7A09-444E-A9B3-491BEC3677B1}"/>
    <cellStyle name="Normal 8 5" xfId="13" xr:uid="{2C4BEBEC-3C84-4D33-A74A-CC5C7D1CF35B}"/>
    <cellStyle name="Porcentaje" xfId="8" builtinId="5"/>
    <cellStyle name="Porcentaje 2" xfId="3" xr:uid="{64608A13-9136-4D81-8C2C-19C5B4F085AE}"/>
    <cellStyle name="Porcentaje 2 2" xfId="11" xr:uid="{10E906C5-0EF2-417A-9426-6504B1C2A107}"/>
    <cellStyle name="Porcentaje 4" xfId="4" xr:uid="{AEDA61A1-8715-436C-B946-013842EA0AF2}"/>
    <cellStyle name="Porcentaje 4 3" xfId="14" xr:uid="{EB38C962-3DB3-427A-9834-1A17CD6AE2BD}"/>
  </cellStyles>
  <dxfs count="364">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numFmt numFmtId="30" formatCode="@"/>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numFmt numFmtId="30" formatCode="@"/>
    </dxf>
    <dxf>
      <fill>
        <patternFill patternType="solid">
          <fgColor indexed="64"/>
          <bgColor theme="9"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18" Type="http://schemas.openxmlformats.org/officeDocument/2006/relationships/image" Target="../media/image24.jpeg"/><Relationship Id="rId3" Type="http://schemas.openxmlformats.org/officeDocument/2006/relationships/image" Target="../media/image9.png"/><Relationship Id="rId21" Type="http://schemas.openxmlformats.org/officeDocument/2006/relationships/image" Target="../media/image6.png"/><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image" Target="../media/image23.png"/><Relationship Id="rId2" Type="http://schemas.openxmlformats.org/officeDocument/2006/relationships/image" Target="../media/image8.png"/><Relationship Id="rId16" Type="http://schemas.openxmlformats.org/officeDocument/2006/relationships/image" Target="../media/image22.png"/><Relationship Id="rId20" Type="http://schemas.openxmlformats.org/officeDocument/2006/relationships/image" Target="../media/image26.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5.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231913</xdr:colOff>
      <xdr:row>0</xdr:row>
      <xdr:rowOff>104113</xdr:rowOff>
    </xdr:from>
    <xdr:to>
      <xdr:col>6</xdr:col>
      <xdr:colOff>682488</xdr:colOff>
      <xdr:row>7</xdr:row>
      <xdr:rowOff>1060174</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895"/>
        <a:stretch>
          <a:fillRect/>
        </a:stretch>
      </xdr:blipFill>
      <xdr:spPr>
        <a:xfrm>
          <a:off x="231913" y="104113"/>
          <a:ext cx="8037445" cy="4931713"/>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546100</xdr:colOff>
          <xdr:row>5</xdr:row>
          <xdr:rowOff>25400</xdr:rowOff>
        </xdr:from>
        <xdr:to>
          <xdr:col>5</xdr:col>
          <xdr:colOff>457200</xdr:colOff>
          <xdr:row>5</xdr:row>
          <xdr:rowOff>596900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200-0000044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s-MX" sz="1600" b="0" i="0" u="none" strike="noStrike" baseline="0">
                  <a:solidFill>
                    <a:srgbClr val="000000"/>
                  </a:solidFill>
                  <a:latin typeface="Calibri"/>
                  <a:ea typeface="Calibri"/>
                  <a:cs typeface="Calibri"/>
                </a:rPr>
                <a:t>COTIZADOR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527050</xdr:colOff>
          <xdr:row>6</xdr:row>
          <xdr:rowOff>152400</xdr:rowOff>
        </xdr:from>
        <xdr:to>
          <xdr:col>5</xdr:col>
          <xdr:colOff>495300</xdr:colOff>
          <xdr:row>6</xdr:row>
          <xdr:rowOff>685800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200-0000064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s-MX" sz="1600" b="0" i="0" u="none" strike="noStrike" baseline="0">
                  <a:solidFill>
                    <a:srgbClr val="000000"/>
                  </a:solidFill>
                  <a:latin typeface="Calibri"/>
                  <a:ea typeface="Calibri"/>
                  <a:cs typeface="Calibri"/>
                </a:rPr>
                <a:t>CUBICADOR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546100</xdr:colOff>
          <xdr:row>7</xdr:row>
          <xdr:rowOff>228600</xdr:rowOff>
        </xdr:from>
        <xdr:to>
          <xdr:col>5</xdr:col>
          <xdr:colOff>482600</xdr:colOff>
          <xdr:row>7</xdr:row>
          <xdr:rowOff>762000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200-0000074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s-MX" sz="1600" b="0" i="0" u="none" strike="noStrike" baseline="0">
                  <a:solidFill>
                    <a:srgbClr val="000000"/>
                  </a:solidFill>
                  <a:latin typeface="Calibri"/>
                  <a:ea typeface="Calibri"/>
                  <a:cs typeface="Calibri"/>
                </a:rPr>
                <a:t>COSTO / ML</a:t>
              </a:r>
            </a:p>
          </xdr:txBody>
        </xdr:sp>
        <xdr:clientData fPrintsWithSheet="0"/>
      </xdr:twoCellAnchor>
    </mc:Choice>
    <mc:Fallback/>
  </mc:AlternateContent>
  <xdr:twoCellAnchor editAs="oneCell">
    <xdr:from>
      <xdr:col>2</xdr:col>
      <xdr:colOff>1250674</xdr:colOff>
      <xdr:row>7</xdr:row>
      <xdr:rowOff>1283805</xdr:rowOff>
    </xdr:from>
    <xdr:to>
      <xdr:col>2</xdr:col>
      <xdr:colOff>3491766</xdr:colOff>
      <xdr:row>13</xdr:row>
      <xdr:rowOff>44044</xdr:rowOff>
    </xdr:to>
    <xdr:pic>
      <xdr:nvPicPr>
        <xdr:cNvPr id="2" name="Imagen 1">
          <a:extLst>
            <a:ext uri="{FF2B5EF4-FFF2-40B4-BE49-F238E27FC236}">
              <a16:creationId xmlns:a16="http://schemas.microsoft.com/office/drawing/2014/main" id="{B8ACC5F8-DF8D-4A79-9608-3D0B1A24E496}"/>
            </a:ext>
          </a:extLst>
        </xdr:cNvPr>
        <xdr:cNvPicPr>
          <a:picLocks noChangeAspect="1"/>
        </xdr:cNvPicPr>
      </xdr:nvPicPr>
      <xdr:blipFill>
        <a:blip xmlns:r="http://schemas.openxmlformats.org/officeDocument/2006/relationships" r:embed="rId2"/>
        <a:stretch>
          <a:fillRect/>
        </a:stretch>
      </xdr:blipFill>
      <xdr:spPr>
        <a:xfrm>
          <a:off x="2973457" y="5259457"/>
          <a:ext cx="2241092" cy="63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571500</xdr:colOff>
      <xdr:row>0</xdr:row>
      <xdr:rowOff>81579</xdr:rowOff>
    </xdr:from>
    <xdr:to>
      <xdr:col>5</xdr:col>
      <xdr:colOff>1006290</xdr:colOff>
      <xdr:row>2</xdr:row>
      <xdr:rowOff>74407</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863340" y="81579"/>
          <a:ext cx="2015940" cy="358588"/>
        </a:xfrm>
        <a:prstGeom prst="rect">
          <a:avLst/>
        </a:prstGeom>
      </xdr:spPr>
    </xdr:pic>
    <xdr:clientData/>
  </xdr:twoCellAnchor>
  <xdr:twoCellAnchor>
    <xdr:from>
      <xdr:col>0</xdr:col>
      <xdr:colOff>739140</xdr:colOff>
      <xdr:row>18</xdr:row>
      <xdr:rowOff>60960</xdr:rowOff>
    </xdr:from>
    <xdr:to>
      <xdr:col>9</xdr:col>
      <xdr:colOff>22860</xdr:colOff>
      <xdr:row>32</xdr:row>
      <xdr:rowOff>53340</xdr:rowOff>
    </xdr:to>
    <xdr:sp macro="" textlink="">
      <xdr:nvSpPr>
        <xdr:cNvPr id="5" name="Rectángulo: esquinas redondeadas 4">
          <a:extLst>
            <a:ext uri="{FF2B5EF4-FFF2-40B4-BE49-F238E27FC236}">
              <a16:creationId xmlns:a16="http://schemas.microsoft.com/office/drawing/2014/main" id="{00000000-0008-0000-0200-000005000000}"/>
            </a:ext>
          </a:extLst>
        </xdr:cNvPr>
        <xdr:cNvSpPr/>
      </xdr:nvSpPr>
      <xdr:spPr>
        <a:xfrm>
          <a:off x="739140" y="1402080"/>
          <a:ext cx="8717280" cy="1836420"/>
        </a:xfrm>
        <a:prstGeom prst="roundRect">
          <a:avLst/>
        </a:prstGeom>
        <a:noFill/>
        <a:ln w="317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mc:AlternateContent xmlns:mc="http://schemas.openxmlformats.org/markup-compatibility/2006">
    <mc:Choice xmlns:a14="http://schemas.microsoft.com/office/drawing/2010/main" Requires="a14">
      <xdr:twoCellAnchor>
        <xdr:from>
          <xdr:col>5</xdr:col>
          <xdr:colOff>527050</xdr:colOff>
          <xdr:row>39</xdr:row>
          <xdr:rowOff>12700</xdr:rowOff>
        </xdr:from>
        <xdr:to>
          <xdr:col>5</xdr:col>
          <xdr:colOff>1746250</xdr:colOff>
          <xdr:row>40</xdr:row>
          <xdr:rowOff>158750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Propuesta</a:t>
              </a:r>
            </a:p>
          </xdr:txBody>
        </xdr:sp>
        <xdr:clientData fPrintsWithSheet="0"/>
      </xdr:twoCellAnchor>
    </mc:Choice>
    <mc:Fallback/>
  </mc:AlternateContent>
  <xdr:twoCellAnchor>
    <xdr:from>
      <xdr:col>1</xdr:col>
      <xdr:colOff>24765</xdr:colOff>
      <xdr:row>33</xdr:row>
      <xdr:rowOff>91441</xdr:rowOff>
    </xdr:from>
    <xdr:to>
      <xdr:col>9</xdr:col>
      <xdr:colOff>47625</xdr:colOff>
      <xdr:row>37</xdr:row>
      <xdr:rowOff>85725</xdr:rowOff>
    </xdr:to>
    <xdr:sp macro="" textlink="">
      <xdr:nvSpPr>
        <xdr:cNvPr id="6" name="Rectángulo: esquinas redondeadas 5">
          <a:extLst>
            <a:ext uri="{FF2B5EF4-FFF2-40B4-BE49-F238E27FC236}">
              <a16:creationId xmlns:a16="http://schemas.microsoft.com/office/drawing/2014/main" id="{00000000-0008-0000-0200-000006000000}"/>
            </a:ext>
          </a:extLst>
        </xdr:cNvPr>
        <xdr:cNvSpPr/>
      </xdr:nvSpPr>
      <xdr:spPr>
        <a:xfrm>
          <a:off x="729615" y="6377941"/>
          <a:ext cx="8652510" cy="718184"/>
        </a:xfrm>
        <a:prstGeom prst="roundRect">
          <a:avLst/>
        </a:prstGeom>
        <a:noFill/>
        <a:ln w="317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t>|</a:t>
          </a:r>
        </a:p>
      </xdr:txBody>
    </xdr:sp>
    <xdr:clientData/>
  </xdr:twoCellAnchor>
  <mc:AlternateContent xmlns:mc="http://schemas.openxmlformats.org/markup-compatibility/2006">
    <mc:Choice xmlns:a14="http://schemas.microsoft.com/office/drawing/2010/main" Requires="a14">
      <xdr:twoCellAnchor>
        <xdr:from>
          <xdr:col>2</xdr:col>
          <xdr:colOff>1612900</xdr:colOff>
          <xdr:row>39</xdr:row>
          <xdr:rowOff>6350</xdr:rowOff>
        </xdr:from>
        <xdr:to>
          <xdr:col>4</xdr:col>
          <xdr:colOff>266700</xdr:colOff>
          <xdr:row>40</xdr:row>
          <xdr:rowOff>120650</xdr:rowOff>
        </xdr:to>
        <xdr:sp macro="" textlink="">
          <xdr:nvSpPr>
            <xdr:cNvPr id="3131" name="Button 59" hidden="1">
              <a:extLst>
                <a:ext uri="{63B3BB69-23CF-44E3-9099-C40C66FF867C}">
                  <a14:compatExt spid="_x0000_s3131"/>
                </a:ext>
                <a:ext uri="{FF2B5EF4-FFF2-40B4-BE49-F238E27FC236}">
                  <a16:creationId xmlns:a16="http://schemas.microsoft.com/office/drawing/2014/main" id="{00000000-0008-0000-0300-00003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xdr:twoCellAnchor>
    <xdr:from>
      <xdr:col>0</xdr:col>
      <xdr:colOff>716280</xdr:colOff>
      <xdr:row>5</xdr:row>
      <xdr:rowOff>30480</xdr:rowOff>
    </xdr:from>
    <xdr:to>
      <xdr:col>9</xdr:col>
      <xdr:colOff>0</xdr:colOff>
      <xdr:row>17</xdr:row>
      <xdr:rowOff>15240</xdr:rowOff>
    </xdr:to>
    <xdr:sp macro="" textlink="">
      <xdr:nvSpPr>
        <xdr:cNvPr id="4" name="Rectángulo: esquinas redondeadas 3">
          <a:extLst>
            <a:ext uri="{FF2B5EF4-FFF2-40B4-BE49-F238E27FC236}">
              <a16:creationId xmlns:a16="http://schemas.microsoft.com/office/drawing/2014/main" id="{00000000-0008-0000-0200-000004000000}"/>
            </a:ext>
          </a:extLst>
        </xdr:cNvPr>
        <xdr:cNvSpPr/>
      </xdr:nvSpPr>
      <xdr:spPr>
        <a:xfrm>
          <a:off x="716280" y="2819400"/>
          <a:ext cx="8717280" cy="1813560"/>
        </a:xfrm>
        <a:prstGeom prst="roundRect">
          <a:avLst/>
        </a:prstGeom>
        <a:noFill/>
        <a:ln w="317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0</xdr:col>
      <xdr:colOff>739140</xdr:colOff>
      <xdr:row>0</xdr:row>
      <xdr:rowOff>22860</xdr:rowOff>
    </xdr:from>
    <xdr:to>
      <xdr:col>9</xdr:col>
      <xdr:colOff>0</xdr:colOff>
      <xdr:row>4</xdr:row>
      <xdr:rowOff>175260</xdr:rowOff>
    </xdr:to>
    <xdr:sp macro="" textlink="">
      <xdr:nvSpPr>
        <xdr:cNvPr id="3" name="Rectángulo: esquinas redondeadas 2">
          <a:extLst>
            <a:ext uri="{FF2B5EF4-FFF2-40B4-BE49-F238E27FC236}">
              <a16:creationId xmlns:a16="http://schemas.microsoft.com/office/drawing/2014/main" id="{00000000-0008-0000-0200-000003000000}"/>
            </a:ext>
          </a:extLst>
        </xdr:cNvPr>
        <xdr:cNvSpPr/>
      </xdr:nvSpPr>
      <xdr:spPr>
        <a:xfrm>
          <a:off x="739140" y="22860"/>
          <a:ext cx="8694420" cy="1097280"/>
        </a:xfrm>
        <a:prstGeom prst="roundRect">
          <a:avLst/>
        </a:prstGeom>
        <a:noFill/>
        <a:ln w="317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28</xdr:col>
      <xdr:colOff>641098</xdr:colOff>
      <xdr:row>48</xdr:row>
      <xdr:rowOff>89646</xdr:rowOff>
    </xdr:from>
    <xdr:to>
      <xdr:col>43</xdr:col>
      <xdr:colOff>7333</xdr:colOff>
      <xdr:row>53</xdr:row>
      <xdr:rowOff>89647</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34429074" y="8695764"/>
          <a:ext cx="15610283" cy="896471"/>
        </a:xfrm>
        <a:prstGeom prst="rect">
          <a:avLst/>
        </a:prstGeom>
      </xdr:spPr>
    </xdr:pic>
    <xdr:clientData/>
  </xdr:twoCellAnchor>
  <xdr:twoCellAnchor editAs="oneCell">
    <xdr:from>
      <xdr:col>31</xdr:col>
      <xdr:colOff>0</xdr:colOff>
      <xdr:row>123</xdr:row>
      <xdr:rowOff>0</xdr:rowOff>
    </xdr:from>
    <xdr:to>
      <xdr:col>38</xdr:col>
      <xdr:colOff>141381</xdr:colOff>
      <xdr:row>134</xdr:row>
      <xdr:rowOff>24377</xdr:rowOff>
    </xdr:to>
    <xdr:pic>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36396706" y="22053176"/>
          <a:ext cx="7331075" cy="19966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571500</xdr:colOff>
      <xdr:row>0</xdr:row>
      <xdr:rowOff>81579</xdr:rowOff>
    </xdr:from>
    <xdr:to>
      <xdr:col>5</xdr:col>
      <xdr:colOff>1006290</xdr:colOff>
      <xdr:row>2</xdr:row>
      <xdr:rowOff>74407</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779520" y="81579"/>
          <a:ext cx="2023560" cy="358588"/>
        </a:xfrm>
        <a:prstGeom prst="rect">
          <a:avLst/>
        </a:prstGeom>
      </xdr:spPr>
    </xdr:pic>
    <xdr:clientData/>
  </xdr:twoCellAnchor>
  <xdr:twoCellAnchor>
    <xdr:from>
      <xdr:col>0</xdr:col>
      <xdr:colOff>739140</xdr:colOff>
      <xdr:row>18</xdr:row>
      <xdr:rowOff>60960</xdr:rowOff>
    </xdr:from>
    <xdr:to>
      <xdr:col>9</xdr:col>
      <xdr:colOff>22860</xdr:colOff>
      <xdr:row>32</xdr:row>
      <xdr:rowOff>53340</xdr:rowOff>
    </xdr:to>
    <xdr:sp macro="" textlink="">
      <xdr:nvSpPr>
        <xdr:cNvPr id="3" name="Rectángulo: esquinas redondeadas 2">
          <a:extLst>
            <a:ext uri="{FF2B5EF4-FFF2-40B4-BE49-F238E27FC236}">
              <a16:creationId xmlns:a16="http://schemas.microsoft.com/office/drawing/2014/main" id="{00000000-0008-0000-0500-000003000000}"/>
            </a:ext>
          </a:extLst>
        </xdr:cNvPr>
        <xdr:cNvSpPr/>
      </xdr:nvSpPr>
      <xdr:spPr>
        <a:xfrm>
          <a:off x="708660" y="3779520"/>
          <a:ext cx="8663940" cy="2598420"/>
        </a:xfrm>
        <a:prstGeom prst="roundRect">
          <a:avLst/>
        </a:prstGeom>
        <a:noFill/>
        <a:ln w="317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24765</xdr:colOff>
      <xdr:row>33</xdr:row>
      <xdr:rowOff>91441</xdr:rowOff>
    </xdr:from>
    <xdr:to>
      <xdr:col>9</xdr:col>
      <xdr:colOff>47625</xdr:colOff>
      <xdr:row>37</xdr:row>
      <xdr:rowOff>85725</xdr:rowOff>
    </xdr:to>
    <xdr:sp macro="" textlink="">
      <xdr:nvSpPr>
        <xdr:cNvPr id="4" name="Rectángulo: esquinas redondeadas 3">
          <a:extLst>
            <a:ext uri="{FF2B5EF4-FFF2-40B4-BE49-F238E27FC236}">
              <a16:creationId xmlns:a16="http://schemas.microsoft.com/office/drawing/2014/main" id="{00000000-0008-0000-0500-000004000000}"/>
            </a:ext>
          </a:extLst>
        </xdr:cNvPr>
        <xdr:cNvSpPr/>
      </xdr:nvSpPr>
      <xdr:spPr>
        <a:xfrm>
          <a:off x="733425" y="6598921"/>
          <a:ext cx="8663940" cy="725804"/>
        </a:xfrm>
        <a:prstGeom prst="roundRect">
          <a:avLst/>
        </a:prstGeom>
        <a:noFill/>
        <a:ln w="317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t>|</a:t>
          </a:r>
        </a:p>
      </xdr:txBody>
    </xdr:sp>
    <xdr:clientData/>
  </xdr:twoCellAnchor>
  <mc:AlternateContent xmlns:mc="http://schemas.openxmlformats.org/markup-compatibility/2006">
    <mc:Choice xmlns:a14="http://schemas.microsoft.com/office/drawing/2010/main" Requires="a14">
      <xdr:twoCellAnchor>
        <xdr:from>
          <xdr:col>2</xdr:col>
          <xdr:colOff>1612900</xdr:colOff>
          <xdr:row>39</xdr:row>
          <xdr:rowOff>6350</xdr:rowOff>
        </xdr:from>
        <xdr:to>
          <xdr:col>4</xdr:col>
          <xdr:colOff>266700</xdr:colOff>
          <xdr:row>40</xdr:row>
          <xdr:rowOff>120650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500-000002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xdr:twoCellAnchor>
    <xdr:from>
      <xdr:col>0</xdr:col>
      <xdr:colOff>716280</xdr:colOff>
      <xdr:row>5</xdr:row>
      <xdr:rowOff>30480</xdr:rowOff>
    </xdr:from>
    <xdr:to>
      <xdr:col>9</xdr:col>
      <xdr:colOff>0</xdr:colOff>
      <xdr:row>17</xdr:row>
      <xdr:rowOff>15240</xdr:rowOff>
    </xdr:to>
    <xdr:sp macro="" textlink="">
      <xdr:nvSpPr>
        <xdr:cNvPr id="5" name="Rectángulo: esquinas redondeadas 4">
          <a:extLst>
            <a:ext uri="{FF2B5EF4-FFF2-40B4-BE49-F238E27FC236}">
              <a16:creationId xmlns:a16="http://schemas.microsoft.com/office/drawing/2014/main" id="{00000000-0008-0000-0500-000005000000}"/>
            </a:ext>
          </a:extLst>
        </xdr:cNvPr>
        <xdr:cNvSpPr/>
      </xdr:nvSpPr>
      <xdr:spPr>
        <a:xfrm>
          <a:off x="708660" y="1371600"/>
          <a:ext cx="8641080" cy="2179320"/>
        </a:xfrm>
        <a:prstGeom prst="roundRect">
          <a:avLst/>
        </a:prstGeom>
        <a:noFill/>
        <a:ln w="317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0</xdr:col>
      <xdr:colOff>739140</xdr:colOff>
      <xdr:row>0</xdr:row>
      <xdr:rowOff>22860</xdr:rowOff>
    </xdr:from>
    <xdr:to>
      <xdr:col>9</xdr:col>
      <xdr:colOff>0</xdr:colOff>
      <xdr:row>4</xdr:row>
      <xdr:rowOff>175260</xdr:rowOff>
    </xdr:to>
    <xdr:sp macro="" textlink="">
      <xdr:nvSpPr>
        <xdr:cNvPr id="6" name="Rectángulo: esquinas redondeadas 5">
          <a:extLst>
            <a:ext uri="{FF2B5EF4-FFF2-40B4-BE49-F238E27FC236}">
              <a16:creationId xmlns:a16="http://schemas.microsoft.com/office/drawing/2014/main" id="{00000000-0008-0000-0500-000006000000}"/>
            </a:ext>
          </a:extLst>
        </xdr:cNvPr>
        <xdr:cNvSpPr/>
      </xdr:nvSpPr>
      <xdr:spPr>
        <a:xfrm>
          <a:off x="708660" y="22860"/>
          <a:ext cx="8641080" cy="1097280"/>
        </a:xfrm>
        <a:prstGeom prst="roundRect">
          <a:avLst/>
        </a:prstGeom>
        <a:noFill/>
        <a:ln w="317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mc:AlternateContent xmlns:mc="http://schemas.openxmlformats.org/markup-compatibility/2006">
    <mc:Choice xmlns:a14="http://schemas.microsoft.com/office/drawing/2010/main" Requires="a14">
      <xdr:twoCellAnchor>
        <xdr:from>
          <xdr:col>5</xdr:col>
          <xdr:colOff>501650</xdr:colOff>
          <xdr:row>39</xdr:row>
          <xdr:rowOff>12700</xdr:rowOff>
        </xdr:from>
        <xdr:to>
          <xdr:col>5</xdr:col>
          <xdr:colOff>1765300</xdr:colOff>
          <xdr:row>41</xdr:row>
          <xdr:rowOff>12700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500-000006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Propuesta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28</xdr:col>
      <xdr:colOff>641098</xdr:colOff>
      <xdr:row>48</xdr:row>
      <xdr:rowOff>89646</xdr:rowOff>
    </xdr:from>
    <xdr:to>
      <xdr:col>43</xdr:col>
      <xdr:colOff>7333</xdr:colOff>
      <xdr:row>53</xdr:row>
      <xdr:rowOff>89647</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4458658" y="8867886"/>
          <a:ext cx="15627315" cy="914401"/>
        </a:xfrm>
        <a:prstGeom prst="rect">
          <a:avLst/>
        </a:prstGeom>
      </xdr:spPr>
    </xdr:pic>
    <xdr:clientData/>
  </xdr:twoCellAnchor>
  <xdr:twoCellAnchor editAs="oneCell">
    <xdr:from>
      <xdr:col>31</xdr:col>
      <xdr:colOff>0</xdr:colOff>
      <xdr:row>123</xdr:row>
      <xdr:rowOff>0</xdr:rowOff>
    </xdr:from>
    <xdr:to>
      <xdr:col>38</xdr:col>
      <xdr:colOff>141381</xdr:colOff>
      <xdr:row>134</xdr:row>
      <xdr:rowOff>24377</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6431220" y="22494240"/>
          <a:ext cx="7334661" cy="20360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60832</xdr:colOff>
      <xdr:row>0</xdr:row>
      <xdr:rowOff>47385</xdr:rowOff>
    </xdr:from>
    <xdr:to>
      <xdr:col>13</xdr:col>
      <xdr:colOff>1025819</xdr:colOff>
      <xdr:row>7</xdr:row>
      <xdr:rowOff>90927</xdr:rowOff>
    </xdr:to>
    <xdr:sp macro="" textlink="">
      <xdr:nvSpPr>
        <xdr:cNvPr id="9" name="CuadroTexto 8">
          <a:extLst>
            <a:ext uri="{FF2B5EF4-FFF2-40B4-BE49-F238E27FC236}">
              <a16:creationId xmlns:a16="http://schemas.microsoft.com/office/drawing/2014/main" id="{00000000-0008-0000-0300-000009000000}"/>
            </a:ext>
          </a:extLst>
        </xdr:cNvPr>
        <xdr:cNvSpPr txBox="1"/>
      </xdr:nvSpPr>
      <xdr:spPr>
        <a:xfrm>
          <a:off x="15076714" y="47385"/>
          <a:ext cx="964987" cy="1442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1</a:t>
          </a:r>
        </a:p>
      </xdr:txBody>
    </xdr:sp>
    <xdr:clientData/>
  </xdr:twoCellAnchor>
  <xdr:twoCellAnchor>
    <xdr:from>
      <xdr:col>13</xdr:col>
      <xdr:colOff>175485</xdr:colOff>
      <xdr:row>86</xdr:row>
      <xdr:rowOff>35859</xdr:rowOff>
    </xdr:from>
    <xdr:to>
      <xdr:col>13</xdr:col>
      <xdr:colOff>967516</xdr:colOff>
      <xdr:row>93</xdr:row>
      <xdr:rowOff>35314</xdr:rowOff>
    </xdr:to>
    <xdr:sp macro="" textlink="">
      <xdr:nvSpPr>
        <xdr:cNvPr id="10" name="CuadroTexto 9">
          <a:extLst>
            <a:ext uri="{FF2B5EF4-FFF2-40B4-BE49-F238E27FC236}">
              <a16:creationId xmlns:a16="http://schemas.microsoft.com/office/drawing/2014/main" id="{00000000-0008-0000-0300-00000A000000}"/>
            </a:ext>
          </a:extLst>
        </xdr:cNvPr>
        <xdr:cNvSpPr txBox="1"/>
      </xdr:nvSpPr>
      <xdr:spPr>
        <a:xfrm>
          <a:off x="15202573" y="15365506"/>
          <a:ext cx="792031" cy="1388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2</a:t>
          </a:r>
        </a:p>
      </xdr:txBody>
    </xdr:sp>
    <xdr:clientData/>
  </xdr:twoCellAnchor>
  <xdr:twoCellAnchor>
    <xdr:from>
      <xdr:col>13</xdr:col>
      <xdr:colOff>130661</xdr:colOff>
      <xdr:row>171</xdr:row>
      <xdr:rowOff>174748</xdr:rowOff>
    </xdr:from>
    <xdr:to>
      <xdr:col>13</xdr:col>
      <xdr:colOff>840441</xdr:colOff>
      <xdr:row>178</xdr:row>
      <xdr:rowOff>170329</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5157749" y="30643542"/>
          <a:ext cx="709780" cy="13851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3</a:t>
          </a:r>
        </a:p>
      </xdr:txBody>
    </xdr:sp>
    <xdr:clientData/>
  </xdr:twoCellAnchor>
  <xdr:twoCellAnchor>
    <xdr:from>
      <xdr:col>12</xdr:col>
      <xdr:colOff>519953</xdr:colOff>
      <xdr:row>257</xdr:row>
      <xdr:rowOff>170329</xdr:rowOff>
    </xdr:from>
    <xdr:to>
      <xdr:col>13</xdr:col>
      <xdr:colOff>731905</xdr:colOff>
      <xdr:row>264</xdr:row>
      <xdr:rowOff>181214</xdr:rowOff>
    </xdr:to>
    <xdr:sp macro="" textlink="">
      <xdr:nvSpPr>
        <xdr:cNvPr id="12" name="CuadroTexto 11">
          <a:extLst>
            <a:ext uri="{FF2B5EF4-FFF2-40B4-BE49-F238E27FC236}">
              <a16:creationId xmlns:a16="http://schemas.microsoft.com/office/drawing/2014/main" id="{00000000-0008-0000-0300-00000C000000}"/>
            </a:ext>
          </a:extLst>
        </xdr:cNvPr>
        <xdr:cNvSpPr txBox="1"/>
      </xdr:nvSpPr>
      <xdr:spPr>
        <a:xfrm>
          <a:off x="14782800" y="46293741"/>
          <a:ext cx="964987" cy="1427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4</a:t>
          </a:r>
        </a:p>
      </xdr:txBody>
    </xdr:sp>
    <xdr:clientData/>
  </xdr:twoCellAnchor>
  <mc:AlternateContent xmlns:mc="http://schemas.openxmlformats.org/markup-compatibility/2006">
    <mc:Choice xmlns:a14="http://schemas.microsoft.com/office/drawing/2010/main" Requires="a14">
      <xdr:twoCellAnchor>
        <xdr:from>
          <xdr:col>6</xdr:col>
          <xdr:colOff>469900</xdr:colOff>
          <xdr:row>3</xdr:row>
          <xdr:rowOff>158750</xdr:rowOff>
        </xdr:from>
        <xdr:to>
          <xdr:col>6</xdr:col>
          <xdr:colOff>1955800</xdr:colOff>
          <xdr:row>5</xdr:row>
          <xdr:rowOff>31750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88</xdr:row>
          <xdr:rowOff>177800</xdr:rowOff>
        </xdr:from>
        <xdr:to>
          <xdr:col>6</xdr:col>
          <xdr:colOff>1670050</xdr:colOff>
          <xdr:row>90</xdr:row>
          <xdr:rowOff>44450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700-000004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317500</xdr:colOff>
          <xdr:row>175</xdr:row>
          <xdr:rowOff>0</xdr:rowOff>
        </xdr:from>
        <xdr:to>
          <xdr:col>6</xdr:col>
          <xdr:colOff>1828800</xdr:colOff>
          <xdr:row>176</xdr:row>
          <xdr:rowOff>88900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7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304800</xdr:colOff>
          <xdr:row>260</xdr:row>
          <xdr:rowOff>165100</xdr:rowOff>
        </xdr:from>
        <xdr:to>
          <xdr:col>6</xdr:col>
          <xdr:colOff>1797050</xdr:colOff>
          <xdr:row>262</xdr:row>
          <xdr:rowOff>38100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700-000006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1098550</xdr:colOff>
          <xdr:row>88</xdr:row>
          <xdr:rowOff>88900</xdr:rowOff>
        </xdr:from>
        <xdr:to>
          <xdr:col>15</xdr:col>
          <xdr:colOff>755650</xdr:colOff>
          <xdr:row>90</xdr:row>
          <xdr:rowOff>63500</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700-000007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1073150</xdr:colOff>
          <xdr:row>3</xdr:row>
          <xdr:rowOff>101600</xdr:rowOff>
        </xdr:from>
        <xdr:to>
          <xdr:col>15</xdr:col>
          <xdr:colOff>723900</xdr:colOff>
          <xdr:row>5</xdr:row>
          <xdr:rowOff>50800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700-000008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876300</xdr:colOff>
          <xdr:row>174</xdr:row>
          <xdr:rowOff>190500</xdr:rowOff>
        </xdr:from>
        <xdr:to>
          <xdr:col>15</xdr:col>
          <xdr:colOff>527050</xdr:colOff>
          <xdr:row>176</xdr:row>
          <xdr:rowOff>146050</xdr:rowOff>
        </xdr:to>
        <xdr:sp macro="" textlink="">
          <xdr:nvSpPr>
            <xdr:cNvPr id="19466" name="Button 10" hidden="1">
              <a:extLst>
                <a:ext uri="{63B3BB69-23CF-44E3-9099-C40C66FF867C}">
                  <a14:compatExt spid="_x0000_s19466"/>
                </a:ext>
                <a:ext uri="{FF2B5EF4-FFF2-40B4-BE49-F238E27FC236}">
                  <a16:creationId xmlns:a16="http://schemas.microsoft.com/office/drawing/2014/main" id="{00000000-0008-0000-0700-00000A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946150</xdr:colOff>
          <xdr:row>260</xdr:row>
          <xdr:rowOff>107950</xdr:rowOff>
        </xdr:from>
        <xdr:to>
          <xdr:col>15</xdr:col>
          <xdr:colOff>596900</xdr:colOff>
          <xdr:row>262</xdr:row>
          <xdr:rowOff>50800</xdr:rowOff>
        </xdr:to>
        <xdr:sp macro="" textlink="">
          <xdr:nvSpPr>
            <xdr:cNvPr id="19467" name="Button 11" hidden="1">
              <a:extLst>
                <a:ext uri="{63B3BB69-23CF-44E3-9099-C40C66FF867C}">
                  <a14:compatExt spid="_x0000_s19467"/>
                </a:ext>
                <a:ext uri="{FF2B5EF4-FFF2-40B4-BE49-F238E27FC236}">
                  <a16:creationId xmlns:a16="http://schemas.microsoft.com/office/drawing/2014/main" id="{00000000-0008-0000-0700-00000B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4</a:t>
              </a:r>
            </a:p>
          </xdr:txBody>
        </xdr:sp>
        <xdr:clientData fPrintsWithSheet="0"/>
      </xdr:twoCellAnchor>
    </mc:Choice>
    <mc:Fallback/>
  </mc:AlternateContent>
  <xdr:twoCellAnchor editAs="oneCell">
    <xdr:from>
      <xdr:col>6</xdr:col>
      <xdr:colOff>650784</xdr:colOff>
      <xdr:row>1</xdr:row>
      <xdr:rowOff>48440</xdr:rowOff>
    </xdr:from>
    <xdr:to>
      <xdr:col>6</xdr:col>
      <xdr:colOff>2018724</xdr:colOff>
      <xdr:row>2</xdr:row>
      <xdr:rowOff>208191</xdr:rowOff>
    </xdr:to>
    <xdr:pic>
      <xdr:nvPicPr>
        <xdr:cNvPr id="3" name="Imagen 2">
          <a:extLst>
            <a:ext uri="{FF2B5EF4-FFF2-40B4-BE49-F238E27FC236}">
              <a16:creationId xmlns:a16="http://schemas.microsoft.com/office/drawing/2014/main" id="{B1620600-A6C9-C08A-C12F-7977767055E9}"/>
            </a:ext>
          </a:extLst>
        </xdr:cNvPr>
        <xdr:cNvPicPr>
          <a:picLocks noChangeAspect="1"/>
        </xdr:cNvPicPr>
      </xdr:nvPicPr>
      <xdr:blipFill>
        <a:blip xmlns:r="http://schemas.openxmlformats.org/officeDocument/2006/relationships" r:embed="rId1"/>
        <a:stretch>
          <a:fillRect/>
        </a:stretch>
      </xdr:blipFill>
      <xdr:spPr>
        <a:xfrm>
          <a:off x="10175784" y="225333"/>
          <a:ext cx="1367940" cy="38508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60832</xdr:colOff>
      <xdr:row>0</xdr:row>
      <xdr:rowOff>47385</xdr:rowOff>
    </xdr:from>
    <xdr:to>
      <xdr:col>13</xdr:col>
      <xdr:colOff>1025819</xdr:colOff>
      <xdr:row>7</xdr:row>
      <xdr:rowOff>90927</xdr:rowOff>
    </xdr:to>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11757532" y="47385"/>
          <a:ext cx="964987" cy="14227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1</a:t>
          </a:r>
        </a:p>
      </xdr:txBody>
    </xdr:sp>
    <xdr:clientData/>
  </xdr:twoCellAnchor>
  <xdr:twoCellAnchor>
    <xdr:from>
      <xdr:col>13</xdr:col>
      <xdr:colOff>175485</xdr:colOff>
      <xdr:row>86</xdr:row>
      <xdr:rowOff>35859</xdr:rowOff>
    </xdr:from>
    <xdr:to>
      <xdr:col>13</xdr:col>
      <xdr:colOff>967516</xdr:colOff>
      <xdr:row>93</xdr:row>
      <xdr:rowOff>35314</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11872185" y="15352059"/>
          <a:ext cx="792031" cy="1401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2</a:t>
          </a:r>
        </a:p>
      </xdr:txBody>
    </xdr:sp>
    <xdr:clientData/>
  </xdr:twoCellAnchor>
  <xdr:twoCellAnchor>
    <xdr:from>
      <xdr:col>13</xdr:col>
      <xdr:colOff>130661</xdr:colOff>
      <xdr:row>171</xdr:row>
      <xdr:rowOff>174748</xdr:rowOff>
    </xdr:from>
    <xdr:to>
      <xdr:col>13</xdr:col>
      <xdr:colOff>840441</xdr:colOff>
      <xdr:row>178</xdr:row>
      <xdr:rowOff>170329</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1827361" y="30616648"/>
          <a:ext cx="709780" cy="1397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3</a:t>
          </a:r>
        </a:p>
      </xdr:txBody>
    </xdr:sp>
    <xdr:clientData/>
  </xdr:twoCellAnchor>
  <xdr:twoCellAnchor>
    <xdr:from>
      <xdr:col>12</xdr:col>
      <xdr:colOff>519953</xdr:colOff>
      <xdr:row>257</xdr:row>
      <xdr:rowOff>170329</xdr:rowOff>
    </xdr:from>
    <xdr:to>
      <xdr:col>13</xdr:col>
      <xdr:colOff>731905</xdr:colOff>
      <xdr:row>264</xdr:row>
      <xdr:rowOff>181214</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1696700" y="45928429"/>
          <a:ext cx="731905" cy="14129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4</a:t>
          </a:r>
        </a:p>
      </xdr:txBody>
    </xdr:sp>
    <xdr:clientData/>
  </xdr:twoCellAnchor>
  <mc:AlternateContent xmlns:mc="http://schemas.openxmlformats.org/markup-compatibility/2006">
    <mc:Choice xmlns:a14="http://schemas.microsoft.com/office/drawing/2010/main" Requires="a14">
      <xdr:twoCellAnchor>
        <xdr:from>
          <xdr:col>6</xdr:col>
          <xdr:colOff>469900</xdr:colOff>
          <xdr:row>3</xdr:row>
          <xdr:rowOff>158750</xdr:rowOff>
        </xdr:from>
        <xdr:to>
          <xdr:col>6</xdr:col>
          <xdr:colOff>1955800</xdr:colOff>
          <xdr:row>5</xdr:row>
          <xdr:rowOff>31750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88</xdr:row>
          <xdr:rowOff>177800</xdr:rowOff>
        </xdr:from>
        <xdr:to>
          <xdr:col>6</xdr:col>
          <xdr:colOff>1670050</xdr:colOff>
          <xdr:row>90</xdr:row>
          <xdr:rowOff>44450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317500</xdr:colOff>
          <xdr:row>175</xdr:row>
          <xdr:rowOff>0</xdr:rowOff>
        </xdr:from>
        <xdr:to>
          <xdr:col>6</xdr:col>
          <xdr:colOff>1828800</xdr:colOff>
          <xdr:row>176</xdr:row>
          <xdr:rowOff>88900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304800</xdr:colOff>
          <xdr:row>260</xdr:row>
          <xdr:rowOff>165100</xdr:rowOff>
        </xdr:from>
        <xdr:to>
          <xdr:col>6</xdr:col>
          <xdr:colOff>1797050</xdr:colOff>
          <xdr:row>262</xdr:row>
          <xdr:rowOff>38100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1098550</xdr:colOff>
          <xdr:row>88</xdr:row>
          <xdr:rowOff>88900</xdr:rowOff>
        </xdr:from>
        <xdr:to>
          <xdr:col>15</xdr:col>
          <xdr:colOff>755650</xdr:colOff>
          <xdr:row>90</xdr:row>
          <xdr:rowOff>63500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800-000005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1073150</xdr:colOff>
          <xdr:row>3</xdr:row>
          <xdr:rowOff>101600</xdr:rowOff>
        </xdr:from>
        <xdr:to>
          <xdr:col>15</xdr:col>
          <xdr:colOff>723900</xdr:colOff>
          <xdr:row>5</xdr:row>
          <xdr:rowOff>50800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800-000006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876300</xdr:colOff>
          <xdr:row>174</xdr:row>
          <xdr:rowOff>190500</xdr:rowOff>
        </xdr:from>
        <xdr:to>
          <xdr:col>15</xdr:col>
          <xdr:colOff>527050</xdr:colOff>
          <xdr:row>176</xdr:row>
          <xdr:rowOff>146050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800-000007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946150</xdr:colOff>
          <xdr:row>260</xdr:row>
          <xdr:rowOff>107950</xdr:rowOff>
        </xdr:from>
        <xdr:to>
          <xdr:col>15</xdr:col>
          <xdr:colOff>596900</xdr:colOff>
          <xdr:row>262</xdr:row>
          <xdr:rowOff>50800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800-000008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4</a:t>
              </a:r>
            </a:p>
          </xdr:txBody>
        </xdr:sp>
        <xdr:clientData fPrintsWithSheet="0"/>
      </xdr:twoCellAnchor>
    </mc:Choice>
    <mc:Fallback/>
  </mc:AlternateContent>
  <xdr:twoCellAnchor editAs="oneCell">
    <xdr:from>
      <xdr:col>6</xdr:col>
      <xdr:colOff>524965</xdr:colOff>
      <xdr:row>1</xdr:row>
      <xdr:rowOff>70214</xdr:rowOff>
    </xdr:from>
    <xdr:to>
      <xdr:col>6</xdr:col>
      <xdr:colOff>1809750</xdr:colOff>
      <xdr:row>3</xdr:row>
      <xdr:rowOff>678</xdr:rowOff>
    </xdr:to>
    <xdr:pic>
      <xdr:nvPicPr>
        <xdr:cNvPr id="7" name="Imagen 6">
          <a:extLst>
            <a:ext uri="{FF2B5EF4-FFF2-40B4-BE49-F238E27FC236}">
              <a16:creationId xmlns:a16="http://schemas.microsoft.com/office/drawing/2014/main" id="{F0373449-908A-A7A2-D555-D29DB3752ED1}"/>
            </a:ext>
          </a:extLst>
        </xdr:cNvPr>
        <xdr:cNvPicPr>
          <a:picLocks noChangeAspect="1"/>
        </xdr:cNvPicPr>
      </xdr:nvPicPr>
      <xdr:blipFill>
        <a:blip xmlns:r="http://schemas.openxmlformats.org/officeDocument/2006/relationships" r:embed="rId1"/>
        <a:stretch>
          <a:fillRect/>
        </a:stretch>
      </xdr:blipFill>
      <xdr:spPr>
        <a:xfrm>
          <a:off x="10049965" y="247107"/>
          <a:ext cx="1284785" cy="37487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406400</xdr:colOff>
          <xdr:row>26</xdr:row>
          <xdr:rowOff>158750</xdr:rowOff>
        </xdr:from>
        <xdr:to>
          <xdr:col>3</xdr:col>
          <xdr:colOff>463550</xdr:colOff>
          <xdr:row>28</xdr:row>
          <xdr:rowOff>152400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9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Calcular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158750</xdr:rowOff>
        </xdr:from>
        <xdr:to>
          <xdr:col>1</xdr:col>
          <xdr:colOff>869950</xdr:colOff>
          <xdr:row>28</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Refescar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901700</xdr:colOff>
          <xdr:row>26</xdr:row>
          <xdr:rowOff>152400</xdr:rowOff>
        </xdr:from>
        <xdr:to>
          <xdr:col>4</xdr:col>
          <xdr:colOff>958850</xdr:colOff>
          <xdr:row>28</xdr:row>
          <xdr:rowOff>158750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13</xdr:col>
      <xdr:colOff>60832</xdr:colOff>
      <xdr:row>0</xdr:row>
      <xdr:rowOff>47385</xdr:rowOff>
    </xdr:from>
    <xdr:to>
      <xdr:col>13</xdr:col>
      <xdr:colOff>1025819</xdr:colOff>
      <xdr:row>7</xdr:row>
      <xdr:rowOff>90927</xdr:rowOff>
    </xdr:to>
    <xdr:sp macro="" textlink="">
      <xdr:nvSpPr>
        <xdr:cNvPr id="2" name="CuadroTexto 1">
          <a:extLst>
            <a:ext uri="{FF2B5EF4-FFF2-40B4-BE49-F238E27FC236}">
              <a16:creationId xmlns:a16="http://schemas.microsoft.com/office/drawing/2014/main" id="{00000000-0008-0000-0A00-000002000000}"/>
            </a:ext>
          </a:extLst>
        </xdr:cNvPr>
        <xdr:cNvSpPr txBox="1"/>
      </xdr:nvSpPr>
      <xdr:spPr>
        <a:xfrm>
          <a:off x="15068422" y="49290"/>
          <a:ext cx="968797" cy="1426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1</a:t>
          </a:r>
        </a:p>
      </xdr:txBody>
    </xdr:sp>
    <xdr:clientData/>
  </xdr:twoCellAnchor>
  <xdr:twoCellAnchor>
    <xdr:from>
      <xdr:col>6</xdr:col>
      <xdr:colOff>2151529</xdr:colOff>
      <xdr:row>85</xdr:row>
      <xdr:rowOff>170329</xdr:rowOff>
    </xdr:from>
    <xdr:to>
      <xdr:col>13</xdr:col>
      <xdr:colOff>797858</xdr:colOff>
      <xdr:row>92</xdr:row>
      <xdr:rowOff>181214</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11689864" y="15490339"/>
          <a:ext cx="4119394" cy="163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2</a:t>
          </a:r>
        </a:p>
      </xdr:txBody>
    </xdr:sp>
    <xdr:clientData/>
  </xdr:twoCellAnchor>
  <xdr:twoCellAnchor>
    <xdr:from>
      <xdr:col>7</xdr:col>
      <xdr:colOff>0</xdr:colOff>
      <xdr:row>171</xdr:row>
      <xdr:rowOff>167128</xdr:rowOff>
    </xdr:from>
    <xdr:to>
      <xdr:col>13</xdr:col>
      <xdr:colOff>717176</xdr:colOff>
      <xdr:row>178</xdr:row>
      <xdr:rowOff>170329</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11687175" y="15506700"/>
          <a:ext cx="4039496"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3</a:t>
          </a:r>
        </a:p>
      </xdr:txBody>
    </xdr:sp>
    <xdr:clientData/>
  </xdr:twoCellAnchor>
  <xdr:twoCellAnchor>
    <xdr:from>
      <xdr:col>12</xdr:col>
      <xdr:colOff>519953</xdr:colOff>
      <xdr:row>257</xdr:row>
      <xdr:rowOff>170329</xdr:rowOff>
    </xdr:from>
    <xdr:to>
      <xdr:col>13</xdr:col>
      <xdr:colOff>731905</xdr:colOff>
      <xdr:row>264</xdr:row>
      <xdr:rowOff>181214</xdr:rowOff>
    </xdr:to>
    <xdr:sp macro="" textlink="">
      <xdr:nvSpPr>
        <xdr:cNvPr id="5" name="CuadroTexto 4">
          <a:extLst>
            <a:ext uri="{FF2B5EF4-FFF2-40B4-BE49-F238E27FC236}">
              <a16:creationId xmlns:a16="http://schemas.microsoft.com/office/drawing/2014/main" id="{00000000-0008-0000-0A00-000005000000}"/>
            </a:ext>
          </a:extLst>
        </xdr:cNvPr>
        <xdr:cNvSpPr txBox="1"/>
      </xdr:nvSpPr>
      <xdr:spPr>
        <a:xfrm>
          <a:off x="14775068" y="15506700"/>
          <a:ext cx="970142"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8800" b="1"/>
            <a:t>4</a:t>
          </a:r>
        </a:p>
      </xdr:txBody>
    </xdr:sp>
    <xdr:clientData/>
  </xdr:twoCellAnchor>
  <mc:AlternateContent xmlns:mc="http://schemas.openxmlformats.org/markup-compatibility/2006">
    <mc:Choice xmlns:a14="http://schemas.microsoft.com/office/drawing/2010/main" Requires="a14">
      <xdr:twoCellAnchor>
        <xdr:from>
          <xdr:col>6</xdr:col>
          <xdr:colOff>469900</xdr:colOff>
          <xdr:row>3</xdr:row>
          <xdr:rowOff>158750</xdr:rowOff>
        </xdr:from>
        <xdr:to>
          <xdr:col>6</xdr:col>
          <xdr:colOff>1955800</xdr:colOff>
          <xdr:row>5</xdr:row>
          <xdr:rowOff>31750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A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88</xdr:row>
          <xdr:rowOff>177800</xdr:rowOff>
        </xdr:from>
        <xdr:to>
          <xdr:col>6</xdr:col>
          <xdr:colOff>1670050</xdr:colOff>
          <xdr:row>90</xdr:row>
          <xdr:rowOff>44450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317500</xdr:colOff>
          <xdr:row>175</xdr:row>
          <xdr:rowOff>0</xdr:rowOff>
        </xdr:from>
        <xdr:to>
          <xdr:col>6</xdr:col>
          <xdr:colOff>1828800</xdr:colOff>
          <xdr:row>176</xdr:row>
          <xdr:rowOff>88900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304800</xdr:colOff>
          <xdr:row>260</xdr:row>
          <xdr:rowOff>165100</xdr:rowOff>
        </xdr:from>
        <xdr:to>
          <xdr:col>6</xdr:col>
          <xdr:colOff>1797050</xdr:colOff>
          <xdr:row>262</xdr:row>
          <xdr:rowOff>38100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A00-000004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1098550</xdr:colOff>
          <xdr:row>88</xdr:row>
          <xdr:rowOff>88900</xdr:rowOff>
        </xdr:from>
        <xdr:to>
          <xdr:col>15</xdr:col>
          <xdr:colOff>755650</xdr:colOff>
          <xdr:row>90</xdr:row>
          <xdr:rowOff>63500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A00-000005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1073150</xdr:colOff>
          <xdr:row>3</xdr:row>
          <xdr:rowOff>101600</xdr:rowOff>
        </xdr:from>
        <xdr:to>
          <xdr:col>15</xdr:col>
          <xdr:colOff>723900</xdr:colOff>
          <xdr:row>5</xdr:row>
          <xdr:rowOff>50800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A00-000006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876300</xdr:colOff>
          <xdr:row>174</xdr:row>
          <xdr:rowOff>190500</xdr:rowOff>
        </xdr:from>
        <xdr:to>
          <xdr:col>15</xdr:col>
          <xdr:colOff>527050</xdr:colOff>
          <xdr:row>176</xdr:row>
          <xdr:rowOff>146050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A00-000007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946150</xdr:colOff>
          <xdr:row>260</xdr:row>
          <xdr:rowOff>107950</xdr:rowOff>
        </xdr:from>
        <xdr:to>
          <xdr:col>15</xdr:col>
          <xdr:colOff>596900</xdr:colOff>
          <xdr:row>262</xdr:row>
          <xdr:rowOff>50800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A00-000008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IMPRIMIR 4</a:t>
              </a:r>
            </a:p>
          </xdr:txBody>
        </xdr:sp>
        <xdr:clientData fPrintsWithSheet="0"/>
      </xdr:twoCellAnchor>
    </mc:Choice>
    <mc:Fallback/>
  </mc:AlternateContent>
  <xdr:twoCellAnchor editAs="oneCell">
    <xdr:from>
      <xdr:col>6</xdr:col>
      <xdr:colOff>752698</xdr:colOff>
      <xdr:row>1</xdr:row>
      <xdr:rowOff>53915</xdr:rowOff>
    </xdr:from>
    <xdr:to>
      <xdr:col>6</xdr:col>
      <xdr:colOff>2087479</xdr:colOff>
      <xdr:row>2</xdr:row>
      <xdr:rowOff>205815</xdr:rowOff>
    </xdr:to>
    <xdr:pic>
      <xdr:nvPicPr>
        <xdr:cNvPr id="7" name="Imagen 6">
          <a:extLst>
            <a:ext uri="{FF2B5EF4-FFF2-40B4-BE49-F238E27FC236}">
              <a16:creationId xmlns:a16="http://schemas.microsoft.com/office/drawing/2014/main" id="{FA0A05D1-00B2-0D22-15E8-EB9BCAE5EA58}"/>
            </a:ext>
          </a:extLst>
        </xdr:cNvPr>
        <xdr:cNvPicPr>
          <a:picLocks noChangeAspect="1"/>
        </xdr:cNvPicPr>
      </xdr:nvPicPr>
      <xdr:blipFill>
        <a:blip xmlns:r="http://schemas.openxmlformats.org/officeDocument/2006/relationships" r:embed="rId1"/>
        <a:stretch>
          <a:fillRect/>
        </a:stretch>
      </xdr:blipFill>
      <xdr:spPr>
        <a:xfrm>
          <a:off x="10300110" y="222003"/>
          <a:ext cx="1334781" cy="37601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19</xdr:col>
      <xdr:colOff>574236</xdr:colOff>
      <xdr:row>18</xdr:row>
      <xdr:rowOff>0</xdr:rowOff>
    </xdr:from>
    <xdr:to>
      <xdr:col>27</xdr:col>
      <xdr:colOff>478575</xdr:colOff>
      <xdr:row>637</xdr:row>
      <xdr:rowOff>58885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71986" y="9277350"/>
          <a:ext cx="4777329" cy="4647585"/>
        </a:xfrm>
        <a:prstGeom prst="rect">
          <a:avLst/>
        </a:prstGeom>
      </xdr:spPr>
    </xdr:pic>
    <xdr:clientData/>
  </xdr:twoCellAnchor>
  <xdr:twoCellAnchor editAs="oneCell">
    <xdr:from>
      <xdr:col>5</xdr:col>
      <xdr:colOff>118635</xdr:colOff>
      <xdr:row>14</xdr:row>
      <xdr:rowOff>320042</xdr:rowOff>
    </xdr:from>
    <xdr:to>
      <xdr:col>6</xdr:col>
      <xdr:colOff>1048187</xdr:colOff>
      <xdr:row>14</xdr:row>
      <xdr:rowOff>1390639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59490" y="6086477"/>
          <a:ext cx="2066837" cy="1080122"/>
        </a:xfrm>
        <a:prstGeom prst="rect">
          <a:avLst/>
        </a:prstGeom>
      </xdr:spPr>
    </xdr:pic>
    <xdr:clientData/>
  </xdr:twoCellAnchor>
  <xdr:twoCellAnchor editAs="oneCell">
    <xdr:from>
      <xdr:col>31</xdr:col>
      <xdr:colOff>91393</xdr:colOff>
      <xdr:row>17</xdr:row>
      <xdr:rowOff>202593</xdr:rowOff>
    </xdr:from>
    <xdr:to>
      <xdr:col>38</xdr:col>
      <xdr:colOff>571788</xdr:colOff>
      <xdr:row>635</xdr:row>
      <xdr:rowOff>131530</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7508153" y="9083703"/>
          <a:ext cx="4743785" cy="4590745"/>
        </a:xfrm>
        <a:prstGeom prst="rect">
          <a:avLst/>
        </a:prstGeom>
      </xdr:spPr>
    </xdr:pic>
    <xdr:clientData/>
  </xdr:twoCellAnchor>
  <xdr:twoCellAnchor editAs="oneCell">
    <xdr:from>
      <xdr:col>30</xdr:col>
      <xdr:colOff>210403</xdr:colOff>
      <xdr:row>10</xdr:row>
      <xdr:rowOff>0</xdr:rowOff>
    </xdr:from>
    <xdr:to>
      <xdr:col>38</xdr:col>
      <xdr:colOff>322197</xdr:colOff>
      <xdr:row>14</xdr:row>
      <xdr:rowOff>384246</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7009943" y="192756"/>
          <a:ext cx="4996214" cy="4750234"/>
        </a:xfrm>
        <a:prstGeom prst="rect">
          <a:avLst/>
        </a:prstGeom>
      </xdr:spPr>
    </xdr:pic>
    <xdr:clientData/>
  </xdr:twoCellAnchor>
  <xdr:twoCellAnchor editAs="oneCell">
    <xdr:from>
      <xdr:col>42</xdr:col>
      <xdr:colOff>221855</xdr:colOff>
      <xdr:row>16</xdr:row>
      <xdr:rowOff>198159</xdr:rowOff>
    </xdr:from>
    <xdr:to>
      <xdr:col>50</xdr:col>
      <xdr:colOff>246019</xdr:colOff>
      <xdr:row>634</xdr:row>
      <xdr:rowOff>167868</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4338500" y="8677314"/>
          <a:ext cx="4912394" cy="4831542"/>
        </a:xfrm>
        <a:prstGeom prst="rect">
          <a:avLst/>
        </a:prstGeom>
      </xdr:spPr>
    </xdr:pic>
    <xdr:clientData/>
  </xdr:twoCellAnchor>
  <xdr:twoCellAnchor editAs="oneCell">
    <xdr:from>
      <xdr:col>41</xdr:col>
      <xdr:colOff>46833</xdr:colOff>
      <xdr:row>9</xdr:row>
      <xdr:rowOff>0</xdr:rowOff>
    </xdr:from>
    <xdr:to>
      <xdr:col>49</xdr:col>
      <xdr:colOff>91951</xdr:colOff>
      <xdr:row>14</xdr:row>
      <xdr:rowOff>244102</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3557688" y="0"/>
          <a:ext cx="4912393" cy="4789160"/>
        </a:xfrm>
        <a:prstGeom prst="rect">
          <a:avLst/>
        </a:prstGeom>
      </xdr:spPr>
    </xdr:pic>
    <xdr:clientData/>
  </xdr:twoCellAnchor>
  <xdr:twoCellAnchor editAs="oneCell">
    <xdr:from>
      <xdr:col>20</xdr:col>
      <xdr:colOff>131742</xdr:colOff>
      <xdr:row>10</xdr:row>
      <xdr:rowOff>0</xdr:rowOff>
    </xdr:from>
    <xdr:to>
      <xdr:col>28</xdr:col>
      <xdr:colOff>174955</xdr:colOff>
      <xdr:row>14</xdr:row>
      <xdr:rowOff>555633</xdr:rowOff>
    </xdr:to>
    <xdr:pic>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0842902" y="961711"/>
          <a:ext cx="4912393" cy="4934412"/>
        </a:xfrm>
        <a:prstGeom prst="rect">
          <a:avLst/>
        </a:prstGeom>
      </xdr:spPr>
    </xdr:pic>
    <xdr:clientData/>
  </xdr:twoCellAnchor>
  <xdr:twoCellAnchor editAs="oneCell">
    <xdr:from>
      <xdr:col>3</xdr:col>
      <xdr:colOff>78904</xdr:colOff>
      <xdr:row>14</xdr:row>
      <xdr:rowOff>343330</xdr:rowOff>
    </xdr:from>
    <xdr:to>
      <xdr:col>4</xdr:col>
      <xdr:colOff>969715</xdr:colOff>
      <xdr:row>14</xdr:row>
      <xdr:rowOff>1428067</xdr:rowOff>
    </xdr:to>
    <xdr:pic>
      <xdr:nvPicPr>
        <xdr:cNvPr id="9" name="Picture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631854" y="6105955"/>
          <a:ext cx="2047146" cy="1094262"/>
        </a:xfrm>
        <a:prstGeom prst="rect">
          <a:avLst/>
        </a:prstGeom>
      </xdr:spPr>
    </xdr:pic>
    <xdr:clientData/>
  </xdr:twoCellAnchor>
  <xdr:twoCellAnchor editAs="oneCell">
    <xdr:from>
      <xdr:col>7</xdr:col>
      <xdr:colOff>142188</xdr:colOff>
      <xdr:row>14</xdr:row>
      <xdr:rowOff>344759</xdr:rowOff>
    </xdr:from>
    <xdr:to>
      <xdr:col>8</xdr:col>
      <xdr:colOff>1048482</xdr:colOff>
      <xdr:row>14</xdr:row>
      <xdr:rowOff>1426657</xdr:rowOff>
    </xdr:to>
    <xdr:pic>
      <xdr:nvPicPr>
        <xdr:cNvPr id="10" name="Picture 9">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265233" y="6107384"/>
          <a:ext cx="2047389" cy="1078088"/>
        </a:xfrm>
        <a:prstGeom prst="rect">
          <a:avLst/>
        </a:prstGeom>
      </xdr:spPr>
    </xdr:pic>
    <xdr:clientData/>
  </xdr:twoCellAnchor>
  <xdr:twoCellAnchor editAs="oneCell">
    <xdr:from>
      <xdr:col>11</xdr:col>
      <xdr:colOff>750614</xdr:colOff>
      <xdr:row>13</xdr:row>
      <xdr:rowOff>36931</xdr:rowOff>
    </xdr:from>
    <xdr:to>
      <xdr:col>12</xdr:col>
      <xdr:colOff>876080</xdr:colOff>
      <xdr:row>13</xdr:row>
      <xdr:rowOff>1312341</xdr:rowOff>
    </xdr:to>
    <xdr:pic>
      <xdr:nvPicPr>
        <xdr:cNvPr id="11" name="Picture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302659" y="4389856"/>
          <a:ext cx="1270371" cy="1279220"/>
        </a:xfrm>
        <a:prstGeom prst="rect">
          <a:avLst/>
        </a:prstGeom>
      </xdr:spPr>
    </xdr:pic>
    <xdr:clientData/>
  </xdr:twoCellAnchor>
  <xdr:twoCellAnchor editAs="oneCell">
    <xdr:from>
      <xdr:col>4</xdr:col>
      <xdr:colOff>403412</xdr:colOff>
      <xdr:row>13</xdr:row>
      <xdr:rowOff>73393</xdr:rowOff>
    </xdr:from>
    <xdr:to>
      <xdr:col>5</xdr:col>
      <xdr:colOff>549610</xdr:colOff>
      <xdr:row>13</xdr:row>
      <xdr:rowOff>1353758</xdr:rowOff>
    </xdr:to>
    <xdr:pic>
      <xdr:nvPicPr>
        <xdr:cNvPr id="12" name="Picture 12">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6095552" y="4426318"/>
          <a:ext cx="1285388" cy="1276555"/>
        </a:xfrm>
        <a:prstGeom prst="rect">
          <a:avLst/>
        </a:prstGeom>
      </xdr:spPr>
    </xdr:pic>
    <xdr:clientData/>
  </xdr:twoCellAnchor>
  <xdr:twoCellAnchor editAs="oneCell">
    <xdr:from>
      <xdr:col>6</xdr:col>
      <xdr:colOff>302560</xdr:colOff>
      <xdr:row>13</xdr:row>
      <xdr:rowOff>44824</xdr:rowOff>
    </xdr:from>
    <xdr:to>
      <xdr:col>7</xdr:col>
      <xdr:colOff>1047237</xdr:colOff>
      <xdr:row>13</xdr:row>
      <xdr:rowOff>1352454</xdr:rowOff>
    </xdr:to>
    <xdr:pic>
      <xdr:nvPicPr>
        <xdr:cNvPr id="13" name="Picture 13">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12"/>
        <a:stretch>
          <a:fillRect/>
        </a:stretch>
      </xdr:blipFill>
      <xdr:spPr>
        <a:xfrm>
          <a:off x="8284510" y="4399654"/>
          <a:ext cx="1897202" cy="1309535"/>
        </a:xfrm>
        <a:prstGeom prst="rect">
          <a:avLst/>
        </a:prstGeom>
      </xdr:spPr>
    </xdr:pic>
    <xdr:clientData/>
  </xdr:twoCellAnchor>
  <xdr:twoCellAnchor editAs="oneCell">
    <xdr:from>
      <xdr:col>12</xdr:col>
      <xdr:colOff>85841</xdr:colOff>
      <xdr:row>14</xdr:row>
      <xdr:rowOff>345445</xdr:rowOff>
    </xdr:from>
    <xdr:to>
      <xdr:col>13</xdr:col>
      <xdr:colOff>1007772</xdr:colOff>
      <xdr:row>14</xdr:row>
      <xdr:rowOff>1431282</xdr:rowOff>
    </xdr:to>
    <xdr:pic>
      <xdr:nvPicPr>
        <xdr:cNvPr id="14" name="Picture 14">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784696" y="6108070"/>
          <a:ext cx="2066836" cy="1082027"/>
        </a:xfrm>
        <a:prstGeom prst="rect">
          <a:avLst/>
        </a:prstGeom>
      </xdr:spPr>
    </xdr:pic>
    <xdr:clientData/>
  </xdr:twoCellAnchor>
  <xdr:twoCellAnchor editAs="oneCell">
    <xdr:from>
      <xdr:col>10</xdr:col>
      <xdr:colOff>108569</xdr:colOff>
      <xdr:row>14</xdr:row>
      <xdr:rowOff>318766</xdr:rowOff>
    </xdr:from>
    <xdr:to>
      <xdr:col>11</xdr:col>
      <xdr:colOff>1007001</xdr:colOff>
      <xdr:row>14</xdr:row>
      <xdr:rowOff>1430173</xdr:rowOff>
    </xdr:to>
    <xdr:pic>
      <xdr:nvPicPr>
        <xdr:cNvPr id="15" name="Picture 15">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517614" y="6085201"/>
          <a:ext cx="2047147" cy="1094262"/>
        </a:xfrm>
        <a:prstGeom prst="rect">
          <a:avLst/>
        </a:prstGeom>
      </xdr:spPr>
    </xdr:pic>
    <xdr:clientData/>
  </xdr:twoCellAnchor>
  <xdr:twoCellAnchor editAs="oneCell">
    <xdr:from>
      <xdr:col>14</xdr:col>
      <xdr:colOff>84409</xdr:colOff>
      <xdr:row>14</xdr:row>
      <xdr:rowOff>357671</xdr:rowOff>
    </xdr:from>
    <xdr:to>
      <xdr:col>15</xdr:col>
      <xdr:colOff>973558</xdr:colOff>
      <xdr:row>14</xdr:row>
      <xdr:rowOff>1426234</xdr:rowOff>
    </xdr:to>
    <xdr:pic>
      <xdr:nvPicPr>
        <xdr:cNvPr id="16" name="Picture 16">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6069264" y="6124106"/>
          <a:ext cx="2037864" cy="1068563"/>
        </a:xfrm>
        <a:prstGeom prst="rect">
          <a:avLst/>
        </a:prstGeom>
      </xdr:spPr>
    </xdr:pic>
    <xdr:clientData/>
  </xdr:twoCellAnchor>
  <xdr:twoCellAnchor editAs="oneCell">
    <xdr:from>
      <xdr:col>52</xdr:col>
      <xdr:colOff>346363</xdr:colOff>
      <xdr:row>10</xdr:row>
      <xdr:rowOff>0</xdr:rowOff>
    </xdr:from>
    <xdr:to>
      <xdr:col>65</xdr:col>
      <xdr:colOff>21475</xdr:colOff>
      <xdr:row>13</xdr:row>
      <xdr:rowOff>816897</xdr:rowOff>
    </xdr:to>
    <xdr:pic>
      <xdr:nvPicPr>
        <xdr:cNvPr id="17" name="Picture 17">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0560913" y="315710"/>
          <a:ext cx="7596102" cy="3783526"/>
        </a:xfrm>
        <a:prstGeom prst="rect">
          <a:avLst/>
        </a:prstGeom>
      </xdr:spPr>
    </xdr:pic>
    <xdr:clientData/>
  </xdr:twoCellAnchor>
  <xdr:twoCellAnchor editAs="oneCell">
    <xdr:from>
      <xdr:col>53</xdr:col>
      <xdr:colOff>11454</xdr:colOff>
      <xdr:row>14</xdr:row>
      <xdr:rowOff>1327637</xdr:rowOff>
    </xdr:from>
    <xdr:to>
      <xdr:col>65</xdr:col>
      <xdr:colOff>302400</xdr:colOff>
      <xdr:row>27</xdr:row>
      <xdr:rowOff>56354</xdr:rowOff>
    </xdr:to>
    <xdr:pic>
      <xdr:nvPicPr>
        <xdr:cNvPr id="18" name="Picture 18">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40839414" y="7088357"/>
          <a:ext cx="7602336" cy="3630010"/>
        </a:xfrm>
        <a:prstGeom prst="rect">
          <a:avLst/>
        </a:prstGeom>
      </xdr:spPr>
    </xdr:pic>
    <xdr:clientData/>
  </xdr:twoCellAnchor>
  <xdr:twoCellAnchor editAs="oneCell">
    <xdr:from>
      <xdr:col>53</xdr:col>
      <xdr:colOff>161454</xdr:colOff>
      <xdr:row>23</xdr:row>
      <xdr:rowOff>126818</xdr:rowOff>
    </xdr:from>
    <xdr:to>
      <xdr:col>65</xdr:col>
      <xdr:colOff>437160</xdr:colOff>
      <xdr:row>639</xdr:row>
      <xdr:rowOff>40201</xdr:rowOff>
    </xdr:to>
    <xdr:pic>
      <xdr:nvPicPr>
        <xdr:cNvPr id="19" name="Picture 19">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0987509" y="11408228"/>
          <a:ext cx="7602336" cy="3805568"/>
        </a:xfrm>
        <a:prstGeom prst="rect">
          <a:avLst/>
        </a:prstGeom>
      </xdr:spPr>
    </xdr:pic>
    <xdr:clientData/>
  </xdr:twoCellAnchor>
  <xdr:twoCellAnchor editAs="oneCell">
    <xdr:from>
      <xdr:col>4</xdr:col>
      <xdr:colOff>112427</xdr:colOff>
      <xdr:row>15</xdr:row>
      <xdr:rowOff>271015</xdr:rowOff>
    </xdr:from>
    <xdr:to>
      <xdr:col>4</xdr:col>
      <xdr:colOff>1011836</xdr:colOff>
      <xdr:row>15</xdr:row>
      <xdr:rowOff>1161351</xdr:rowOff>
    </xdr:to>
    <xdr:pic>
      <xdr:nvPicPr>
        <xdr:cNvPr id="20" name="Picture 28">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808377" y="7521445"/>
          <a:ext cx="895599" cy="897956"/>
        </a:xfrm>
        <a:prstGeom prst="rect">
          <a:avLst/>
        </a:prstGeom>
      </xdr:spPr>
    </xdr:pic>
    <xdr:clientData/>
  </xdr:twoCellAnchor>
  <xdr:twoCellAnchor editAs="oneCell">
    <xdr:from>
      <xdr:col>6</xdr:col>
      <xdr:colOff>87443</xdr:colOff>
      <xdr:row>15</xdr:row>
      <xdr:rowOff>258536</xdr:rowOff>
    </xdr:from>
    <xdr:to>
      <xdr:col>6</xdr:col>
      <xdr:colOff>1013013</xdr:colOff>
      <xdr:row>15</xdr:row>
      <xdr:rowOff>1203702</xdr:rowOff>
    </xdr:to>
    <xdr:pic>
      <xdr:nvPicPr>
        <xdr:cNvPr id="21" name="Picture 29">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071298" y="7505156"/>
          <a:ext cx="931285" cy="943261"/>
        </a:xfrm>
        <a:prstGeom prst="rect">
          <a:avLst/>
        </a:prstGeom>
      </xdr:spPr>
    </xdr:pic>
    <xdr:clientData/>
  </xdr:twoCellAnchor>
  <xdr:twoCellAnchor editAs="oneCell">
    <xdr:from>
      <xdr:col>1</xdr:col>
      <xdr:colOff>83546</xdr:colOff>
      <xdr:row>11</xdr:row>
      <xdr:rowOff>25308</xdr:rowOff>
    </xdr:from>
    <xdr:to>
      <xdr:col>10</xdr:col>
      <xdr:colOff>571500</xdr:colOff>
      <xdr:row>11</xdr:row>
      <xdr:rowOff>1864178</xdr:rowOff>
    </xdr:to>
    <xdr:pic>
      <xdr:nvPicPr>
        <xdr:cNvPr id="22" name="Picture 35">
          <a:extLst>
            <a:ext uri="{FF2B5EF4-FFF2-40B4-BE49-F238E27FC236}">
              <a16:creationId xmlns:a16="http://schemas.microsoft.com/office/drawing/2014/main" id="{00000000-0008-0000-0B00-000016000000}"/>
            </a:ext>
          </a:extLst>
        </xdr:cNvPr>
        <xdr:cNvPicPr>
          <a:picLocks noChangeAspect="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r="35425"/>
        <a:stretch>
          <a:fillRect/>
        </a:stretch>
      </xdr:blipFill>
      <xdr:spPr>
        <a:xfrm>
          <a:off x="695867" y="596808"/>
          <a:ext cx="11292026" cy="1838870"/>
        </a:xfrm>
        <a:prstGeom prst="rect">
          <a:avLst/>
        </a:prstGeom>
      </xdr:spPr>
    </xdr:pic>
    <xdr:clientData/>
  </xdr:twoCellAnchor>
  <xdr:twoCellAnchor editAs="oneCell">
    <xdr:from>
      <xdr:col>3</xdr:col>
      <xdr:colOff>87846</xdr:colOff>
      <xdr:row>15</xdr:row>
      <xdr:rowOff>260456</xdr:rowOff>
    </xdr:from>
    <xdr:to>
      <xdr:col>3</xdr:col>
      <xdr:colOff>1013011</xdr:colOff>
      <xdr:row>15</xdr:row>
      <xdr:rowOff>1202766</xdr:rowOff>
    </xdr:to>
    <xdr:pic>
      <xdr:nvPicPr>
        <xdr:cNvPr id="23" name="Picture 39">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644606" y="7507076"/>
          <a:ext cx="928975" cy="940405"/>
        </a:xfrm>
        <a:prstGeom prst="rect">
          <a:avLst/>
        </a:prstGeom>
      </xdr:spPr>
    </xdr:pic>
    <xdr:clientData/>
  </xdr:twoCellAnchor>
  <xdr:twoCellAnchor editAs="oneCell">
    <xdr:from>
      <xdr:col>5</xdr:col>
      <xdr:colOff>91048</xdr:colOff>
      <xdr:row>15</xdr:row>
      <xdr:rowOff>259136</xdr:rowOff>
    </xdr:from>
    <xdr:to>
      <xdr:col>5</xdr:col>
      <xdr:colOff>1025738</xdr:colOff>
      <xdr:row>15</xdr:row>
      <xdr:rowOff>1201446</xdr:rowOff>
    </xdr:to>
    <xdr:pic>
      <xdr:nvPicPr>
        <xdr:cNvPr id="24" name="Picture 4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933808" y="7505756"/>
          <a:ext cx="930880" cy="940405"/>
        </a:xfrm>
        <a:prstGeom prst="rect">
          <a:avLst/>
        </a:prstGeom>
      </xdr:spPr>
    </xdr:pic>
    <xdr:clientData/>
  </xdr:twoCellAnchor>
  <xdr:twoCellAnchor editAs="oneCell">
    <xdr:from>
      <xdr:col>7</xdr:col>
      <xdr:colOff>91048</xdr:colOff>
      <xdr:row>15</xdr:row>
      <xdr:rowOff>266140</xdr:rowOff>
    </xdr:from>
    <xdr:to>
      <xdr:col>7</xdr:col>
      <xdr:colOff>1025738</xdr:colOff>
      <xdr:row>15</xdr:row>
      <xdr:rowOff>1200830</xdr:rowOff>
    </xdr:to>
    <xdr:pic>
      <xdr:nvPicPr>
        <xdr:cNvPr id="25" name="Picture 41">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9219808" y="7514665"/>
          <a:ext cx="930880" cy="930880"/>
        </a:xfrm>
        <a:prstGeom prst="rect">
          <a:avLst/>
        </a:prstGeom>
      </xdr:spPr>
    </xdr:pic>
    <xdr:clientData/>
  </xdr:twoCellAnchor>
  <xdr:twoCellAnchor editAs="oneCell">
    <xdr:from>
      <xdr:col>10</xdr:col>
      <xdr:colOff>105055</xdr:colOff>
      <xdr:row>15</xdr:row>
      <xdr:rowOff>266140</xdr:rowOff>
    </xdr:from>
    <xdr:to>
      <xdr:col>10</xdr:col>
      <xdr:colOff>1045460</xdr:colOff>
      <xdr:row>15</xdr:row>
      <xdr:rowOff>1200830</xdr:rowOff>
    </xdr:to>
    <xdr:pic>
      <xdr:nvPicPr>
        <xdr:cNvPr id="26" name="Picture 42">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1514100" y="7514665"/>
          <a:ext cx="938500" cy="930880"/>
        </a:xfrm>
        <a:prstGeom prst="rect">
          <a:avLst/>
        </a:prstGeom>
      </xdr:spPr>
    </xdr:pic>
    <xdr:clientData/>
  </xdr:twoCellAnchor>
  <xdr:twoCellAnchor editAs="oneCell">
    <xdr:from>
      <xdr:col>12</xdr:col>
      <xdr:colOff>105055</xdr:colOff>
      <xdr:row>15</xdr:row>
      <xdr:rowOff>259136</xdr:rowOff>
    </xdr:from>
    <xdr:to>
      <xdr:col>12</xdr:col>
      <xdr:colOff>1045460</xdr:colOff>
      <xdr:row>15</xdr:row>
      <xdr:rowOff>1201446</xdr:rowOff>
    </xdr:to>
    <xdr:pic>
      <xdr:nvPicPr>
        <xdr:cNvPr id="27" name="Picture 43">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3800100" y="7505756"/>
          <a:ext cx="938500" cy="940405"/>
        </a:xfrm>
        <a:prstGeom prst="rect">
          <a:avLst/>
        </a:prstGeom>
      </xdr:spPr>
    </xdr:pic>
    <xdr:clientData/>
  </xdr:twoCellAnchor>
  <xdr:twoCellAnchor editAs="oneCell">
    <xdr:from>
      <xdr:col>14</xdr:col>
      <xdr:colOff>105055</xdr:colOff>
      <xdr:row>15</xdr:row>
      <xdr:rowOff>252132</xdr:rowOff>
    </xdr:from>
    <xdr:to>
      <xdr:col>14</xdr:col>
      <xdr:colOff>1045460</xdr:colOff>
      <xdr:row>15</xdr:row>
      <xdr:rowOff>1196347</xdr:rowOff>
    </xdr:to>
    <xdr:pic>
      <xdr:nvPicPr>
        <xdr:cNvPr id="28" name="Picture 44">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6086100" y="7496847"/>
          <a:ext cx="938500" cy="940405"/>
        </a:xfrm>
        <a:prstGeom prst="rect">
          <a:avLst/>
        </a:prstGeom>
      </xdr:spPr>
    </xdr:pic>
    <xdr:clientData/>
  </xdr:twoCellAnchor>
  <xdr:twoCellAnchor editAs="oneCell">
    <xdr:from>
      <xdr:col>8</xdr:col>
      <xdr:colOff>84044</xdr:colOff>
      <xdr:row>15</xdr:row>
      <xdr:rowOff>252132</xdr:rowOff>
    </xdr:from>
    <xdr:to>
      <xdr:col>8</xdr:col>
      <xdr:colOff>1013424</xdr:colOff>
      <xdr:row>15</xdr:row>
      <xdr:rowOff>1201108</xdr:rowOff>
    </xdr:to>
    <xdr:pic>
      <xdr:nvPicPr>
        <xdr:cNvPr id="29" name="Picture 5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0353899" y="7496847"/>
          <a:ext cx="931285" cy="943261"/>
        </a:xfrm>
        <a:prstGeom prst="rect">
          <a:avLst/>
        </a:prstGeom>
      </xdr:spPr>
    </xdr:pic>
    <xdr:clientData/>
  </xdr:twoCellAnchor>
  <xdr:twoCellAnchor editAs="oneCell">
    <xdr:from>
      <xdr:col>11</xdr:col>
      <xdr:colOff>84044</xdr:colOff>
      <xdr:row>15</xdr:row>
      <xdr:rowOff>252132</xdr:rowOff>
    </xdr:from>
    <xdr:to>
      <xdr:col>11</xdr:col>
      <xdr:colOff>1013424</xdr:colOff>
      <xdr:row>15</xdr:row>
      <xdr:rowOff>1201108</xdr:rowOff>
    </xdr:to>
    <xdr:pic>
      <xdr:nvPicPr>
        <xdr:cNvPr id="30" name="Picture 51">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2639899" y="7496847"/>
          <a:ext cx="931285" cy="943261"/>
        </a:xfrm>
        <a:prstGeom prst="rect">
          <a:avLst/>
        </a:prstGeom>
      </xdr:spPr>
    </xdr:pic>
    <xdr:clientData/>
  </xdr:twoCellAnchor>
  <xdr:twoCellAnchor editAs="oneCell">
    <xdr:from>
      <xdr:col>13</xdr:col>
      <xdr:colOff>84044</xdr:colOff>
      <xdr:row>15</xdr:row>
      <xdr:rowOff>252132</xdr:rowOff>
    </xdr:from>
    <xdr:to>
      <xdr:col>13</xdr:col>
      <xdr:colOff>1013424</xdr:colOff>
      <xdr:row>15</xdr:row>
      <xdr:rowOff>1201108</xdr:rowOff>
    </xdr:to>
    <xdr:pic>
      <xdr:nvPicPr>
        <xdr:cNvPr id="31" name="Picture 52">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4925899" y="7496847"/>
          <a:ext cx="931285" cy="943261"/>
        </a:xfrm>
        <a:prstGeom prst="rect">
          <a:avLst/>
        </a:prstGeom>
      </xdr:spPr>
    </xdr:pic>
    <xdr:clientData/>
  </xdr:twoCellAnchor>
  <xdr:twoCellAnchor editAs="oneCell">
    <xdr:from>
      <xdr:col>15</xdr:col>
      <xdr:colOff>84044</xdr:colOff>
      <xdr:row>15</xdr:row>
      <xdr:rowOff>252132</xdr:rowOff>
    </xdr:from>
    <xdr:to>
      <xdr:col>15</xdr:col>
      <xdr:colOff>1013424</xdr:colOff>
      <xdr:row>15</xdr:row>
      <xdr:rowOff>1201108</xdr:rowOff>
    </xdr:to>
    <xdr:pic>
      <xdr:nvPicPr>
        <xdr:cNvPr id="32" name="Picture 53">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7211899" y="7496847"/>
          <a:ext cx="931285" cy="943261"/>
        </a:xfrm>
        <a:prstGeom prst="rect">
          <a:avLst/>
        </a:prstGeom>
      </xdr:spPr>
    </xdr:pic>
    <xdr:clientData/>
  </xdr:twoCellAnchor>
  <xdr:twoCellAnchor editAs="oneCell">
    <xdr:from>
      <xdr:col>13</xdr:col>
      <xdr:colOff>306917</xdr:colOff>
      <xdr:row>13</xdr:row>
      <xdr:rowOff>43347</xdr:rowOff>
    </xdr:from>
    <xdr:to>
      <xdr:col>14</xdr:col>
      <xdr:colOff>784225</xdr:colOff>
      <xdr:row>13</xdr:row>
      <xdr:rowOff>1353325</xdr:rowOff>
    </xdr:to>
    <xdr:pic>
      <xdr:nvPicPr>
        <xdr:cNvPr id="33" name="Picture 22">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0"/>
        <a:stretch>
          <a:fillRect/>
        </a:stretch>
      </xdr:blipFill>
      <xdr:spPr>
        <a:xfrm>
          <a:off x="15146867" y="4398177"/>
          <a:ext cx="1627928" cy="1304263"/>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920750</xdr:colOff>
          <xdr:row>27</xdr:row>
          <xdr:rowOff>152400</xdr:rowOff>
        </xdr:from>
        <xdr:to>
          <xdr:col>4</xdr:col>
          <xdr:colOff>1073150</xdr:colOff>
          <xdr:row>29</xdr:row>
          <xdr:rowOff>177800</xdr:rowOff>
        </xdr:to>
        <xdr:sp macro="" textlink="">
          <xdr:nvSpPr>
            <xdr:cNvPr id="22610" name="Button 82" hidden="1">
              <a:extLst>
                <a:ext uri="{63B3BB69-23CF-44E3-9099-C40C66FF867C}">
                  <a14:compatExt spid="_x0000_s22610"/>
                </a:ext>
                <a:ext uri="{FF2B5EF4-FFF2-40B4-BE49-F238E27FC236}">
                  <a16:creationId xmlns:a16="http://schemas.microsoft.com/office/drawing/2014/main" id="{00000000-0008-0000-0B00-00005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Referscar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406400</xdr:colOff>
          <xdr:row>27</xdr:row>
          <xdr:rowOff>114300</xdr:rowOff>
        </xdr:from>
        <xdr:to>
          <xdr:col>7</xdr:col>
          <xdr:colOff>412750</xdr:colOff>
          <xdr:row>30</xdr:row>
          <xdr:rowOff>0</xdr:rowOff>
        </xdr:to>
        <xdr:sp macro="" textlink="">
          <xdr:nvSpPr>
            <xdr:cNvPr id="22611" name="Button 83" hidden="1">
              <a:extLst>
                <a:ext uri="{63B3BB69-23CF-44E3-9099-C40C66FF867C}">
                  <a14:compatExt spid="_x0000_s22611"/>
                </a:ext>
                <a:ext uri="{FF2B5EF4-FFF2-40B4-BE49-F238E27FC236}">
                  <a16:creationId xmlns:a16="http://schemas.microsoft.com/office/drawing/2014/main" id="{00000000-0008-0000-0B00-000053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Calcular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654050</xdr:colOff>
          <xdr:row>27</xdr:row>
          <xdr:rowOff>165100</xdr:rowOff>
        </xdr:from>
        <xdr:to>
          <xdr:col>10</xdr:col>
          <xdr:colOff>977900</xdr:colOff>
          <xdr:row>29</xdr:row>
          <xdr:rowOff>146050</xdr:rowOff>
        </xdr:to>
        <xdr:sp macro="" textlink="">
          <xdr:nvSpPr>
            <xdr:cNvPr id="22612" name="Button 84" hidden="1">
              <a:extLst>
                <a:ext uri="{63B3BB69-23CF-44E3-9099-C40C66FF867C}">
                  <a14:compatExt spid="_x0000_s22612"/>
                </a:ext>
                <a:ext uri="{FF2B5EF4-FFF2-40B4-BE49-F238E27FC236}">
                  <a16:creationId xmlns:a16="http://schemas.microsoft.com/office/drawing/2014/main" id="{00000000-0008-0000-0B00-000054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ea typeface="Calibri"/>
                  <a:cs typeface="Calibri"/>
                </a:rPr>
                <a:t>Menu Principal</a:t>
              </a:r>
            </a:p>
          </xdr:txBody>
        </xdr:sp>
        <xdr:clientData fPrintsWithSheet="0"/>
      </xdr:twoCellAnchor>
    </mc:Choice>
    <mc:Fallback/>
  </mc:AlternateContent>
  <xdr:twoCellAnchor editAs="oneCell">
    <xdr:from>
      <xdr:col>11</xdr:col>
      <xdr:colOff>878478</xdr:colOff>
      <xdr:row>11</xdr:row>
      <xdr:rowOff>272143</xdr:rowOff>
    </xdr:from>
    <xdr:to>
      <xdr:col>15</xdr:col>
      <xdr:colOff>923508</xdr:colOff>
      <xdr:row>11</xdr:row>
      <xdr:rowOff>1578428</xdr:rowOff>
    </xdr:to>
    <xdr:pic>
      <xdr:nvPicPr>
        <xdr:cNvPr id="34" name="Imagen 33">
          <a:extLst>
            <a:ext uri="{FF2B5EF4-FFF2-40B4-BE49-F238E27FC236}">
              <a16:creationId xmlns:a16="http://schemas.microsoft.com/office/drawing/2014/main" id="{DA81826E-0675-1849-E66E-357D4D7155D7}"/>
            </a:ext>
          </a:extLst>
        </xdr:cNvPr>
        <xdr:cNvPicPr>
          <a:picLocks noChangeAspect="1"/>
        </xdr:cNvPicPr>
      </xdr:nvPicPr>
      <xdr:blipFill>
        <a:blip xmlns:r="http://schemas.openxmlformats.org/officeDocument/2006/relationships" r:embed="rId21"/>
        <a:stretch>
          <a:fillRect/>
        </a:stretch>
      </xdr:blipFill>
      <xdr:spPr>
        <a:xfrm>
          <a:off x="13437871" y="843643"/>
          <a:ext cx="4617030" cy="130628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647701</xdr:colOff>
      <xdr:row>0</xdr:row>
      <xdr:rowOff>0</xdr:rowOff>
    </xdr:from>
    <xdr:to>
      <xdr:col>11</xdr:col>
      <xdr:colOff>777240</xdr:colOff>
      <xdr:row>3</xdr:row>
      <xdr:rowOff>151769</xdr:rowOff>
    </xdr:to>
    <xdr:pic>
      <xdr:nvPicPr>
        <xdr:cNvPr id="3" name="Imagen 2">
          <a:extLst>
            <a:ext uri="{FF2B5EF4-FFF2-40B4-BE49-F238E27FC236}">
              <a16:creationId xmlns:a16="http://schemas.microsoft.com/office/drawing/2014/main" id="{557C6946-604A-DF40-858C-A236C139BF74}"/>
            </a:ext>
          </a:extLst>
        </xdr:cNvPr>
        <xdr:cNvPicPr>
          <a:picLocks noChangeAspect="1"/>
        </xdr:cNvPicPr>
      </xdr:nvPicPr>
      <xdr:blipFill>
        <a:blip xmlns:r="http://schemas.openxmlformats.org/officeDocument/2006/relationships" r:embed="rId1"/>
        <a:stretch>
          <a:fillRect/>
        </a:stretch>
      </xdr:blipFill>
      <xdr:spPr>
        <a:xfrm>
          <a:off x="9229726" y="0"/>
          <a:ext cx="2493644" cy="69469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auro.cordero\OneDrive%20-%20Bekaert\003%20CERCAS\CERCAS%20PRO\COTIZADOR\Cercas%20Pro\Cotizador%20CercasPro%20N%233.2019%20%20ASES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PRINCIPAL"/>
      <sheetName val="DATOS"/>
      <sheetName val="UNITARIOS"/>
      <sheetName val="UNITARIOS B+P"/>
      <sheetName val="DATOS BEZI+POLIESTER"/>
      <sheetName val="UNITARIOS CERCASVOLT"/>
      <sheetName val="UNITARIOS INTRADOM"/>
      <sheetName val="UNITARIOS RESID - PERIMET"/>
      <sheetName val="UNITARIOS MAX SEGURIDAD"/>
      <sheetName val="UNITARIOSCERCASFORT"/>
      <sheetName val="UNITARIOS CATEGORIAS "/>
      <sheetName val="COSTO AGOSTO 2018"/>
      <sheetName val="COSTOS SEP 2019"/>
      <sheetName val="CAL RESIDENCIAL - PERIMETRAL"/>
      <sheetName val="PROPUESTA RESIDENCIAL-PERIMETRA"/>
      <sheetName val="CAL MAX SEGURIDAD"/>
      <sheetName val="PROPUESTA MAX SEGURIDAD"/>
      <sheetName val="CAL CERCASPRO INTRADOM"/>
      <sheetName val="CAL BEZI+POLIESTER"/>
      <sheetName val="PROPUESTA BEZI+POLIESTER"/>
      <sheetName val="PROPUESTA INTRADOMICILIARIA"/>
      <sheetName val="PEDIDO CERCASPRO"/>
      <sheetName val="PRESUPUESTO CERCASPRO"/>
      <sheetName val="Pedido Acumulado"/>
      <sheetName val="Revision stock inventario"/>
      <sheetName val="PEDIDO OTRAS SOLUCIONES"/>
      <sheetName val="INVENTARIO ULTIMO"/>
      <sheetName val="INVENTARIO ACMAN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D3EE9D-74DF-42AC-9383-BB82BC944EBF}" name="Tabla1" displayName="Tabla1" ref="I2:K47" totalsRowShown="0" headerRowDxfId="356" dataDxfId="355" tableBorderDxfId="354">
  <autoFilter ref="I2:K47" xr:uid="{D9D3EE9D-74DF-42AC-9383-BB82BC944EBF}"/>
  <tableColumns count="3">
    <tableColumn id="1" xr3:uid="{311CD8AE-80CC-4F38-A08D-7E6FBEFD9644}" name="NOMBRE ASESOR" dataDxfId="353"/>
    <tableColumn id="2" xr3:uid="{4DCED3ED-3F4D-4ED2-BAA0-53D276E04AA7}" name="CORREO " dataDxfId="352"/>
    <tableColumn id="3" xr3:uid="{9986469D-3839-462E-B2D2-34504E5ECC2C}" name="TELEFONO" dataDxfId="3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alejandra.lascano@bekaert.com" TargetMode="External"/><Relationship Id="rId13" Type="http://schemas.openxmlformats.org/officeDocument/2006/relationships/hyperlink" Target="mailto:jose.proano@bekaert.com" TargetMode="External"/><Relationship Id="rId18" Type="http://schemas.openxmlformats.org/officeDocument/2006/relationships/hyperlink" Target="mailto:veronica.sotomayor@bekaert.com" TargetMode="External"/><Relationship Id="rId3" Type="http://schemas.openxmlformats.org/officeDocument/2006/relationships/hyperlink" Target="mailto:lauro.cordero@bekaert.com" TargetMode="External"/><Relationship Id="rId21" Type="http://schemas.openxmlformats.org/officeDocument/2006/relationships/hyperlink" Target="mailto:cristian.villacres@bekaert.com" TargetMode="External"/><Relationship Id="rId7" Type="http://schemas.openxmlformats.org/officeDocument/2006/relationships/hyperlink" Target="mailto:elvis.jordan@bekaert.com" TargetMode="External"/><Relationship Id="rId12" Type="http://schemas.openxmlformats.org/officeDocument/2006/relationships/hyperlink" Target="mailto:fabian.perez@bekaert.com" TargetMode="External"/><Relationship Id="rId17" Type="http://schemas.openxmlformats.org/officeDocument/2006/relationships/hyperlink" Target="mailto:valeria.salcedo@bekaert.com" TargetMode="External"/><Relationship Id="rId25" Type="http://schemas.openxmlformats.org/officeDocument/2006/relationships/comments" Target="../comments1.xml"/><Relationship Id="rId2" Type="http://schemas.openxmlformats.org/officeDocument/2006/relationships/hyperlink" Target="mailto:gerson.solorzano@bekaert.com" TargetMode="External"/><Relationship Id="rId16" Type="http://schemas.openxmlformats.org/officeDocument/2006/relationships/hyperlink" Target="mailto:edi.ruiz@bekaert.com" TargetMode="External"/><Relationship Id="rId20" Type="http://schemas.openxmlformats.org/officeDocument/2006/relationships/hyperlink" Target="mailto:diana.vera@bekaert.com" TargetMode="External"/><Relationship Id="rId1" Type="http://schemas.openxmlformats.org/officeDocument/2006/relationships/hyperlink" Target="mailto:lorena.armas@bekaert.com" TargetMode="External"/><Relationship Id="rId6" Type="http://schemas.openxmlformats.org/officeDocument/2006/relationships/hyperlink" Target="mailto:alba.jacome@bekaert.com" TargetMode="External"/><Relationship Id="rId11" Type="http://schemas.openxmlformats.org/officeDocument/2006/relationships/hyperlink" Target="mailto:jose.palacio@bekaert.com" TargetMode="External"/><Relationship Id="rId24" Type="http://schemas.openxmlformats.org/officeDocument/2006/relationships/table" Target="../tables/table1.xml"/><Relationship Id="rId5" Type="http://schemas.openxmlformats.org/officeDocument/2006/relationships/hyperlink" Target="mailto:diego.gutierrez@bekaert.com" TargetMode="External"/><Relationship Id="rId15" Type="http://schemas.openxmlformats.org/officeDocument/2006/relationships/hyperlink" Target="mailto:fernando.ruano@bekaert.com" TargetMode="External"/><Relationship Id="rId23" Type="http://schemas.openxmlformats.org/officeDocument/2006/relationships/vmlDrawing" Target="../drawings/vmlDrawing1.vml"/><Relationship Id="rId10" Type="http://schemas.openxmlformats.org/officeDocument/2006/relationships/hyperlink" Target="mailto:melanie.naranjo@bekaert.com" TargetMode="External"/><Relationship Id="rId19" Type="http://schemas.openxmlformats.org/officeDocument/2006/relationships/hyperlink" Target="mailto:fernando.ulquiango@bekaert.com" TargetMode="External"/><Relationship Id="rId4" Type="http://schemas.openxmlformats.org/officeDocument/2006/relationships/hyperlink" Target="mailto:ana.guerron@bekaert.com" TargetMode="External"/><Relationship Id="rId9" Type="http://schemas.openxmlformats.org/officeDocument/2006/relationships/hyperlink" Target="mailto:pablo.maiguashca@bekaert.com" TargetMode="External"/><Relationship Id="rId14" Type="http://schemas.openxmlformats.org/officeDocument/2006/relationships/hyperlink" Target="mailto:vicente.rodas@bekaert.com" TargetMode="External"/><Relationship Id="rId22" Type="http://schemas.openxmlformats.org/officeDocument/2006/relationships/hyperlink" Target="mailto:freddy.marquez@bekaert.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fmarquez@bekaert.com" TargetMode="External"/><Relationship Id="rId13" Type="http://schemas.openxmlformats.org/officeDocument/2006/relationships/hyperlink" Target="mailto:fruano@bekaert.com" TargetMode="External"/><Relationship Id="rId18" Type="http://schemas.openxmlformats.org/officeDocument/2006/relationships/hyperlink" Target="mailto:wbriceno@somosgrupoag.com" TargetMode="External"/><Relationship Id="rId3" Type="http://schemas.openxmlformats.org/officeDocument/2006/relationships/hyperlink" Target="mailto:lcordero@bekaert.com" TargetMode="External"/><Relationship Id="rId7" Type="http://schemas.openxmlformats.org/officeDocument/2006/relationships/hyperlink" Target="mailto:ejordan@bekaert.com" TargetMode="External"/><Relationship Id="rId12" Type="http://schemas.openxmlformats.org/officeDocument/2006/relationships/hyperlink" Target="mailto:vrodas@bekaert.com" TargetMode="External"/><Relationship Id="rId17" Type="http://schemas.openxmlformats.org/officeDocument/2006/relationships/hyperlink" Target="mailto:cvillacres@bekaert.com" TargetMode="External"/><Relationship Id="rId2" Type="http://schemas.openxmlformats.org/officeDocument/2006/relationships/hyperlink" Target="mailto:gsolorzano@bekaert.com" TargetMode="External"/><Relationship Id="rId16" Type="http://schemas.openxmlformats.org/officeDocument/2006/relationships/hyperlink" Target="mailto:fulquiango@bekaert.com" TargetMode="External"/><Relationship Id="rId1" Type="http://schemas.openxmlformats.org/officeDocument/2006/relationships/hyperlink" Target="mailto:larmas@somosgrupoag.com" TargetMode="External"/><Relationship Id="rId6" Type="http://schemas.openxmlformats.org/officeDocument/2006/relationships/hyperlink" Target="mailto:ajacome@bekaert.com" TargetMode="External"/><Relationship Id="rId11" Type="http://schemas.openxmlformats.org/officeDocument/2006/relationships/hyperlink" Target="mailto:jproano@bekaert.com" TargetMode="External"/><Relationship Id="rId5" Type="http://schemas.openxmlformats.org/officeDocument/2006/relationships/hyperlink" Target="mailto:dgutierrez@bekaert.com" TargetMode="External"/><Relationship Id="rId15" Type="http://schemas.openxmlformats.org/officeDocument/2006/relationships/hyperlink" Target="mailto:vsalcedo@bekaert.com" TargetMode="External"/><Relationship Id="rId10" Type="http://schemas.openxmlformats.org/officeDocument/2006/relationships/hyperlink" Target="mailto:fperez@bekaert.com" TargetMode="External"/><Relationship Id="rId19" Type="http://schemas.openxmlformats.org/officeDocument/2006/relationships/hyperlink" Target="mailto:igonzale@somosgrupoag.com" TargetMode="External"/><Relationship Id="rId4" Type="http://schemas.openxmlformats.org/officeDocument/2006/relationships/hyperlink" Target="mailto:aguerron@bekaert.com" TargetMode="External"/><Relationship Id="rId9" Type="http://schemas.openxmlformats.org/officeDocument/2006/relationships/hyperlink" Target="mailto:mnaranjo@bekaert.com" TargetMode="External"/><Relationship Id="rId14" Type="http://schemas.openxmlformats.org/officeDocument/2006/relationships/hyperlink" Target="mailto:eruiz@bekaert.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5.vml"/><Relationship Id="rId7" Type="http://schemas.openxmlformats.org/officeDocument/2006/relationships/ctrlProp" Target="../ctrlProps/ctrlProp11.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6.vml"/><Relationship Id="rId7" Type="http://schemas.openxmlformats.org/officeDocument/2006/relationships/ctrlProp" Target="../ctrlProps/ctrlProp19.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4.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5.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47"/>
  <sheetViews>
    <sheetView zoomScaleNormal="100" workbookViewId="0">
      <selection activeCell="G21" sqref="G21"/>
    </sheetView>
  </sheetViews>
  <sheetFormatPr baseColWidth="10" defaultColWidth="8.90625" defaultRowHeight="14.5"/>
  <cols>
    <col min="1" max="1" width="20.453125" bestFit="1" customWidth="1"/>
    <col min="2" max="2" width="11.36328125" bestFit="1" customWidth="1"/>
    <col min="3" max="3" width="10.453125" bestFit="1" customWidth="1"/>
    <col min="4" max="4" width="21.36328125" bestFit="1" customWidth="1"/>
    <col min="5" max="5" width="11.81640625" bestFit="1" customWidth="1"/>
    <col min="6" max="6" width="8.6328125" bestFit="1" customWidth="1"/>
    <col min="7" max="7" width="4" bestFit="1" customWidth="1"/>
    <col min="9" max="9" width="26.36328125" customWidth="1"/>
    <col min="10" max="10" width="31.1796875" bestFit="1" customWidth="1"/>
    <col min="11" max="11" width="15.36328125" bestFit="1" customWidth="1"/>
  </cols>
  <sheetData>
    <row r="1" spans="1:11">
      <c r="D1" s="563" t="s">
        <v>121</v>
      </c>
      <c r="E1" s="563"/>
      <c r="F1" s="563"/>
      <c r="G1" s="563"/>
      <c r="H1" s="563"/>
    </row>
    <row r="2" spans="1:11">
      <c r="D2" s="92"/>
      <c r="E2" s="92"/>
      <c r="F2" s="92"/>
      <c r="G2" s="92"/>
      <c r="H2" s="92"/>
      <c r="I2" s="237" t="s">
        <v>249</v>
      </c>
      <c r="J2" s="237" t="s">
        <v>250</v>
      </c>
      <c r="K2" s="237" t="s">
        <v>251</v>
      </c>
    </row>
    <row r="3" spans="1:11">
      <c r="A3" t="s">
        <v>98</v>
      </c>
      <c r="D3" s="91" t="s">
        <v>118</v>
      </c>
      <c r="I3" s="242" t="s">
        <v>262</v>
      </c>
      <c r="J3" s="243" t="s">
        <v>284</v>
      </c>
      <c r="K3" s="242" t="s">
        <v>306</v>
      </c>
    </row>
    <row r="4" spans="1:11">
      <c r="I4" s="242" t="s">
        <v>263</v>
      </c>
      <c r="J4" s="243" t="s">
        <v>327</v>
      </c>
      <c r="K4" s="242" t="s">
        <v>322</v>
      </c>
    </row>
    <row r="5" spans="1:11">
      <c r="A5" t="str">
        <f>+CP_2026!F6</f>
        <v>CercaSolu</v>
      </c>
      <c r="D5" t="s">
        <v>112</v>
      </c>
      <c r="E5" s="236" t="str">
        <f>+Ingreso!D8</f>
        <v>XXXXXXX</v>
      </c>
      <c r="I5" s="242" t="s">
        <v>264</v>
      </c>
      <c r="J5" s="243" t="s">
        <v>285</v>
      </c>
      <c r="K5" s="242" t="s">
        <v>307</v>
      </c>
    </row>
    <row r="6" spans="1:11">
      <c r="A6" t="str">
        <f>+CP_2026!G6</f>
        <v>Mallero</v>
      </c>
      <c r="D6" t="s">
        <v>113</v>
      </c>
      <c r="E6" s="90" t="str">
        <f>+Ingreso!D10</f>
        <v>Quito Norte</v>
      </c>
      <c r="I6" s="242" t="s">
        <v>265</v>
      </c>
      <c r="J6" s="243" t="s">
        <v>286</v>
      </c>
      <c r="K6" s="242" t="s">
        <v>308</v>
      </c>
    </row>
    <row r="7" spans="1:11">
      <c r="A7" t="str">
        <f>+CP_2026!H6</f>
        <v>Distribuidor</v>
      </c>
      <c r="D7" t="s">
        <v>114</v>
      </c>
      <c r="E7" s="90" t="str">
        <f>+Ingreso!D11</f>
        <v>Quito</v>
      </c>
      <c r="I7" s="242" t="s">
        <v>266</v>
      </c>
      <c r="J7" s="243" t="s">
        <v>287</v>
      </c>
      <c r="K7" s="242" t="s">
        <v>354</v>
      </c>
    </row>
    <row r="8" spans="1:11">
      <c r="A8" t="str">
        <f>+CP_2026!I6</f>
        <v>Mayorista</v>
      </c>
      <c r="D8" t="s">
        <v>115</v>
      </c>
      <c r="E8" s="90" t="str">
        <f>+Ingreso!D12</f>
        <v>sangolqui</v>
      </c>
      <c r="I8" s="242" t="s">
        <v>267</v>
      </c>
      <c r="J8" s="243" t="s">
        <v>288</v>
      </c>
      <c r="K8" s="242" t="s">
        <v>309</v>
      </c>
    </row>
    <row r="9" spans="1:11">
      <c r="A9" t="str">
        <f>+CP_2026!J6</f>
        <v>Franquicia</v>
      </c>
      <c r="D9" t="s">
        <v>116</v>
      </c>
      <c r="E9" s="90" t="str">
        <f>+Ingreso!D13</f>
        <v>2222222adas</v>
      </c>
      <c r="I9" s="242" t="s">
        <v>268</v>
      </c>
      <c r="J9" s="243" t="s">
        <v>289</v>
      </c>
      <c r="K9" s="242" t="s">
        <v>310</v>
      </c>
    </row>
    <row r="10" spans="1:11">
      <c r="A10" t="str">
        <f>+CP_2026!K6</f>
        <v>Detallista</v>
      </c>
      <c r="D10" t="s">
        <v>117</v>
      </c>
      <c r="E10" s="90" t="str">
        <f>+Ingreso!D14</f>
        <v>123@gmail.com</v>
      </c>
      <c r="I10" s="242" t="s">
        <v>269</v>
      </c>
      <c r="J10" s="243" t="s">
        <v>290</v>
      </c>
      <c r="K10" s="242" t="s">
        <v>311</v>
      </c>
    </row>
    <row r="11" spans="1:11">
      <c r="A11" t="str">
        <f>+CP_2026!L6</f>
        <v>PVS</v>
      </c>
      <c r="I11" s="242" t="s">
        <v>270</v>
      </c>
      <c r="J11" s="243" t="s">
        <v>291</v>
      </c>
      <c r="K11" s="242" t="s">
        <v>312</v>
      </c>
    </row>
    <row r="12" spans="1:11">
      <c r="D12" s="91" t="s">
        <v>99</v>
      </c>
      <c r="I12" s="242" t="s">
        <v>271</v>
      </c>
      <c r="J12" s="243" t="s">
        <v>292</v>
      </c>
      <c r="K12" s="242" t="s">
        <v>313</v>
      </c>
    </row>
    <row r="13" spans="1:11">
      <c r="I13" s="242" t="s">
        <v>272</v>
      </c>
      <c r="J13" s="243" t="s">
        <v>293</v>
      </c>
      <c r="K13" s="242" t="s">
        <v>314</v>
      </c>
    </row>
    <row r="14" spans="1:11">
      <c r="A14" t="s">
        <v>99</v>
      </c>
      <c r="D14" t="str">
        <f>+Ingreso!C4</f>
        <v>PERIMETRAL</v>
      </c>
      <c r="I14" s="242" t="s">
        <v>273</v>
      </c>
      <c r="J14" s="243" t="s">
        <v>294</v>
      </c>
      <c r="K14" s="242" t="s">
        <v>315</v>
      </c>
    </row>
    <row r="15" spans="1:11">
      <c r="I15" s="242" t="s">
        <v>274</v>
      </c>
      <c r="J15" s="243" t="s">
        <v>295</v>
      </c>
      <c r="K15" s="242" t="s">
        <v>316</v>
      </c>
    </row>
    <row r="16" spans="1:11">
      <c r="A16" t="s">
        <v>100</v>
      </c>
      <c r="D16" s="91" t="s">
        <v>122</v>
      </c>
      <c r="I16" s="242" t="s">
        <v>275</v>
      </c>
      <c r="J16" s="243" t="s">
        <v>296</v>
      </c>
      <c r="K16" s="242" t="s">
        <v>317</v>
      </c>
    </row>
    <row r="17" spans="1:11">
      <c r="A17" t="s">
        <v>101</v>
      </c>
      <c r="I17" s="242" t="s">
        <v>276</v>
      </c>
      <c r="J17" s="243" t="s">
        <v>297</v>
      </c>
      <c r="K17" s="242" t="s">
        <v>319</v>
      </c>
    </row>
    <row r="18" spans="1:11">
      <c r="A18" t="s">
        <v>102</v>
      </c>
      <c r="D18" t="str">
        <f>+Ingreso!H22</f>
        <v>Franquicia</v>
      </c>
      <c r="I18" s="242" t="s">
        <v>277</v>
      </c>
      <c r="J18" s="243" t="s">
        <v>298</v>
      </c>
      <c r="K18" s="242" t="s">
        <v>318</v>
      </c>
    </row>
    <row r="19" spans="1:11">
      <c r="A19" t="s">
        <v>126</v>
      </c>
      <c r="I19" s="242" t="s">
        <v>278</v>
      </c>
      <c r="J19" s="243" t="s">
        <v>299</v>
      </c>
      <c r="K19" s="242" t="s">
        <v>320</v>
      </c>
    </row>
    <row r="20" spans="1:11">
      <c r="I20" s="242" t="s">
        <v>279</v>
      </c>
      <c r="J20" s="243" t="s">
        <v>300</v>
      </c>
      <c r="K20" s="242" t="s">
        <v>321</v>
      </c>
    </row>
    <row r="21" spans="1:11">
      <c r="I21" s="242" t="s">
        <v>280</v>
      </c>
      <c r="J21" s="243" t="s">
        <v>301</v>
      </c>
      <c r="K21" s="242" t="s">
        <v>323</v>
      </c>
    </row>
    <row r="22" spans="1:11">
      <c r="I22" s="242" t="s">
        <v>281</v>
      </c>
      <c r="J22" s="243" t="s">
        <v>302</v>
      </c>
      <c r="K22" s="242" t="s">
        <v>326</v>
      </c>
    </row>
    <row r="23" spans="1:11">
      <c r="I23" s="242" t="s">
        <v>282</v>
      </c>
      <c r="J23" s="243" t="s">
        <v>303</v>
      </c>
      <c r="K23" s="242" t="s">
        <v>324</v>
      </c>
    </row>
    <row r="24" spans="1:11">
      <c r="I24" s="242" t="s">
        <v>283</v>
      </c>
      <c r="J24" s="243" t="s">
        <v>304</v>
      </c>
      <c r="K24" s="242" t="s">
        <v>325</v>
      </c>
    </row>
    <row r="25" spans="1:11">
      <c r="A25" s="565" t="s">
        <v>257</v>
      </c>
      <c r="B25" s="564" t="s">
        <v>258</v>
      </c>
      <c r="C25" s="564"/>
      <c r="I25" s="242"/>
      <c r="J25" s="243"/>
      <c r="K25" s="242"/>
    </row>
    <row r="26" spans="1:11">
      <c r="A26" s="565"/>
      <c r="B26" s="95" t="s">
        <v>255</v>
      </c>
      <c r="C26" s="95" t="s">
        <v>256</v>
      </c>
      <c r="I26" s="242"/>
      <c r="J26" s="243"/>
      <c r="K26" s="242"/>
    </row>
    <row r="27" spans="1:11">
      <c r="A27" s="87" t="s">
        <v>253</v>
      </c>
      <c r="B27" s="96">
        <v>0</v>
      </c>
      <c r="C27" s="96">
        <v>0.2</v>
      </c>
      <c r="I27" s="242"/>
      <c r="J27" s="243"/>
      <c r="K27" s="242"/>
    </row>
    <row r="28" spans="1:11">
      <c r="A28" s="87" t="s">
        <v>254</v>
      </c>
      <c r="B28" s="96">
        <v>0</v>
      </c>
      <c r="C28" s="96">
        <v>0.46</v>
      </c>
      <c r="I28" s="242"/>
      <c r="J28" s="243"/>
      <c r="K28" s="242"/>
    </row>
    <row r="29" spans="1:11">
      <c r="B29" s="90"/>
      <c r="I29" s="242"/>
      <c r="J29" s="243"/>
      <c r="K29" s="242"/>
    </row>
    <row r="30" spans="1:11">
      <c r="I30" s="242"/>
      <c r="J30" s="243"/>
      <c r="K30" s="242"/>
    </row>
    <row r="31" spans="1:11">
      <c r="I31" s="242"/>
      <c r="J31" s="243"/>
      <c r="K31" s="242"/>
    </row>
    <row r="32" spans="1:11">
      <c r="I32" s="242"/>
      <c r="J32" s="243"/>
      <c r="K32" s="242"/>
    </row>
    <row r="33" spans="9:11">
      <c r="I33" s="242"/>
      <c r="J33" s="243"/>
      <c r="K33" s="242"/>
    </row>
    <row r="34" spans="9:11">
      <c r="I34" s="242"/>
      <c r="J34" s="243"/>
      <c r="K34" s="242"/>
    </row>
    <row r="35" spans="9:11">
      <c r="I35" s="242"/>
      <c r="J35" s="243"/>
      <c r="K35" s="242"/>
    </row>
    <row r="36" spans="9:11">
      <c r="I36" s="242"/>
      <c r="J36" s="243"/>
      <c r="K36" s="242"/>
    </row>
    <row r="37" spans="9:11">
      <c r="I37" s="242"/>
      <c r="J37" s="243"/>
      <c r="K37" s="242"/>
    </row>
    <row r="38" spans="9:11">
      <c r="I38" s="242"/>
      <c r="J38" s="243"/>
      <c r="K38" s="242"/>
    </row>
    <row r="39" spans="9:11">
      <c r="I39" s="242"/>
      <c r="J39" s="243"/>
      <c r="K39" s="242"/>
    </row>
    <row r="40" spans="9:11">
      <c r="I40" s="242"/>
      <c r="J40" s="243"/>
      <c r="K40" s="242"/>
    </row>
    <row r="41" spans="9:11">
      <c r="I41" s="242"/>
      <c r="J41" s="243"/>
      <c r="K41" s="242"/>
    </row>
    <row r="42" spans="9:11">
      <c r="I42" s="242"/>
      <c r="J42" s="243"/>
      <c r="K42" s="242"/>
    </row>
    <row r="43" spans="9:11">
      <c r="I43" s="242"/>
      <c r="J43" s="243"/>
      <c r="K43" s="242"/>
    </row>
    <row r="44" spans="9:11">
      <c r="I44" s="242"/>
      <c r="J44" s="243"/>
      <c r="K44" s="242"/>
    </row>
    <row r="45" spans="9:11">
      <c r="I45" s="242"/>
      <c r="J45" s="243"/>
      <c r="K45" s="242"/>
    </row>
    <row r="46" spans="9:11">
      <c r="I46" s="242"/>
      <c r="J46" s="243"/>
      <c r="K46" s="242"/>
    </row>
    <row r="47" spans="9:11">
      <c r="I47" s="244"/>
      <c r="J47" s="245"/>
      <c r="K47" s="244"/>
    </row>
  </sheetData>
  <mergeCells count="3">
    <mergeCell ref="D1:H1"/>
    <mergeCell ref="B25:C25"/>
    <mergeCell ref="A25:A26"/>
  </mergeCells>
  <hyperlinks>
    <hyperlink ref="J3" r:id="rId1" xr:uid="{6997A04F-F3ED-40C1-8208-71C405762942}"/>
    <hyperlink ref="J4" r:id="rId2" xr:uid="{CBB7383A-197E-464E-B8BC-51D96DDCE93F}"/>
    <hyperlink ref="J5" r:id="rId3" xr:uid="{B13EF425-46CE-4CBA-9723-DA8976F13354}"/>
    <hyperlink ref="J6" r:id="rId4" xr:uid="{ED660C79-265E-4909-9375-1D388BDCF7CA}"/>
    <hyperlink ref="J7" r:id="rId5" xr:uid="{8EA99DC3-FA9E-49A1-8D4F-86E73EBCDF80}"/>
    <hyperlink ref="J8" r:id="rId6" xr:uid="{D7AAADB0-39E8-4D83-8025-519C67F8B0DB}"/>
    <hyperlink ref="J9" r:id="rId7" xr:uid="{A5F12E54-839E-4A43-AC91-05986F8E5BB5}"/>
    <hyperlink ref="J10" r:id="rId8" xr:uid="{8DB139C7-BCAB-4454-A850-D27A768B9FFB}"/>
    <hyperlink ref="J11" r:id="rId9" xr:uid="{6717E377-54B3-4F0F-8194-A08BE82829A9}"/>
    <hyperlink ref="J13" r:id="rId10" xr:uid="{ACBE814B-32B5-4EF2-9D08-B5426BA31863}"/>
    <hyperlink ref="J14" r:id="rId11" xr:uid="{8DACDFB3-74E7-4C28-9BBD-6AC6F0969CA6}"/>
    <hyperlink ref="J15" r:id="rId12" xr:uid="{6394444D-D340-4CB8-A827-09315A3C4005}"/>
    <hyperlink ref="J16" r:id="rId13" xr:uid="{3BA1304E-4FA7-47EB-8679-BC5223E16F8D}"/>
    <hyperlink ref="J17" r:id="rId14" xr:uid="{13856A7C-6322-42B8-8A3E-DE93A2E90FEA}"/>
    <hyperlink ref="J18" r:id="rId15" xr:uid="{8580790E-C93B-4F6F-B72A-A6C82B794F87}"/>
    <hyperlink ref="J19" r:id="rId16" xr:uid="{F1B631A1-59B1-4340-BD07-FBF8BD7A9A35}"/>
    <hyperlink ref="J20" r:id="rId17" xr:uid="{C24A0DC6-0582-4708-B5A5-A19FC6A793DA}"/>
    <hyperlink ref="J21" r:id="rId18" xr:uid="{F31E6C87-2343-4C4A-B781-6371E32EB107}"/>
    <hyperlink ref="J22" r:id="rId19" xr:uid="{B76A69BF-1D90-4D56-A68C-916FA8075DFE}"/>
    <hyperlink ref="J23" r:id="rId20" xr:uid="{9F6FAEC2-1A0B-470D-8B69-732F1105464D}"/>
    <hyperlink ref="J24" r:id="rId21" xr:uid="{A2A4689D-E5E5-4D2C-8F8C-4610F52301C2}"/>
    <hyperlink ref="J12" r:id="rId22" xr:uid="{7EBAC261-1516-488F-8FE1-5A9F7693C54B}"/>
  </hyperlinks>
  <pageMargins left="0.7" right="0.7" top="0.75" bottom="0.75" header="0.3" footer="0.3"/>
  <legacyDrawing r:id="rId23"/>
  <tableParts count="1">
    <tablePart r:id="rId2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DFFCC-8CA4-4277-B054-D4615554BDF6}">
  <sheetPr codeName="Hoja12"/>
  <dimension ref="C2:E20"/>
  <sheetViews>
    <sheetView workbookViewId="0">
      <selection activeCell="C2" sqref="C2"/>
    </sheetView>
  </sheetViews>
  <sheetFormatPr baseColWidth="10" defaultRowHeight="14.5"/>
  <cols>
    <col min="3" max="5" width="27.81640625" customWidth="1"/>
  </cols>
  <sheetData>
    <row r="2" spans="3:5" ht="16" thickBot="1">
      <c r="C2" s="545" t="s">
        <v>262</v>
      </c>
      <c r="D2" s="546" t="s">
        <v>402</v>
      </c>
      <c r="E2" s="547" t="s">
        <v>306</v>
      </c>
    </row>
    <row r="3" spans="3:5" ht="29.5" thickBot="1">
      <c r="C3" s="548" t="s">
        <v>263</v>
      </c>
      <c r="D3" s="549" t="s">
        <v>403</v>
      </c>
      <c r="E3" s="550" t="s">
        <v>322</v>
      </c>
    </row>
    <row r="4" spans="3:5" ht="16" thickBot="1">
      <c r="C4" s="545" t="s">
        <v>264</v>
      </c>
      <c r="D4" s="546" t="s">
        <v>404</v>
      </c>
      <c r="E4" s="547" t="s">
        <v>307</v>
      </c>
    </row>
    <row r="5" spans="3:5" ht="16" thickBot="1">
      <c r="C5" s="548" t="s">
        <v>265</v>
      </c>
      <c r="D5" s="549" t="s">
        <v>405</v>
      </c>
      <c r="E5" s="550" t="s">
        <v>308</v>
      </c>
    </row>
    <row r="6" spans="3:5" ht="16" thickBot="1">
      <c r="C6" s="545" t="s">
        <v>266</v>
      </c>
      <c r="D6" s="546" t="s">
        <v>406</v>
      </c>
      <c r="E6" s="547" t="s">
        <v>407</v>
      </c>
    </row>
    <row r="7" spans="3:5" ht="16" thickBot="1">
      <c r="C7" s="548" t="s">
        <v>267</v>
      </c>
      <c r="D7" s="549" t="s">
        <v>408</v>
      </c>
      <c r="E7" s="550" t="s">
        <v>309</v>
      </c>
    </row>
    <row r="8" spans="3:5" ht="16" thickBot="1">
      <c r="C8" s="545" t="s">
        <v>268</v>
      </c>
      <c r="D8" s="546" t="s">
        <v>409</v>
      </c>
      <c r="E8" s="547" t="s">
        <v>310</v>
      </c>
    </row>
    <row r="9" spans="3:5" ht="16" thickBot="1">
      <c r="C9" s="548" t="s">
        <v>271</v>
      </c>
      <c r="D9" s="549" t="s">
        <v>410</v>
      </c>
      <c r="E9" s="550" t="s">
        <v>313</v>
      </c>
    </row>
    <row r="10" spans="3:5" ht="16" thickBot="1">
      <c r="C10" s="545" t="s">
        <v>272</v>
      </c>
      <c r="D10" s="546" t="s">
        <v>411</v>
      </c>
      <c r="E10" s="547" t="s">
        <v>314</v>
      </c>
    </row>
    <row r="11" spans="3:5" ht="16" thickBot="1">
      <c r="C11" s="545" t="s">
        <v>274</v>
      </c>
      <c r="D11" s="546" t="s">
        <v>412</v>
      </c>
      <c r="E11" s="547" t="s">
        <v>316</v>
      </c>
    </row>
    <row r="12" spans="3:5" ht="16" thickBot="1">
      <c r="C12" s="548" t="s">
        <v>275</v>
      </c>
      <c r="D12" s="549" t="s">
        <v>413</v>
      </c>
      <c r="E12" s="550" t="s">
        <v>317</v>
      </c>
    </row>
    <row r="13" spans="3:5" ht="16" thickBot="1">
      <c r="C13" s="545" t="s">
        <v>276</v>
      </c>
      <c r="D13" s="546" t="s">
        <v>414</v>
      </c>
      <c r="E13" s="547" t="s">
        <v>319</v>
      </c>
    </row>
    <row r="14" spans="3:5" ht="16" thickBot="1">
      <c r="C14" s="548" t="s">
        <v>277</v>
      </c>
      <c r="D14" s="549" t="s">
        <v>415</v>
      </c>
      <c r="E14" s="550" t="s">
        <v>318</v>
      </c>
    </row>
    <row r="15" spans="3:5" ht="16" thickBot="1">
      <c r="C15" s="545" t="s">
        <v>278</v>
      </c>
      <c r="D15" s="546" t="s">
        <v>416</v>
      </c>
      <c r="E15" s="547" t="s">
        <v>320</v>
      </c>
    </row>
    <row r="16" spans="3:5" ht="16" thickBot="1">
      <c r="C16" s="548" t="s">
        <v>279</v>
      </c>
      <c r="D16" s="549" t="s">
        <v>417</v>
      </c>
      <c r="E16" s="550" t="s">
        <v>321</v>
      </c>
    </row>
    <row r="17" spans="3:5" ht="29.5" thickBot="1">
      <c r="C17" s="548" t="s">
        <v>281</v>
      </c>
      <c r="D17" s="549" t="s">
        <v>418</v>
      </c>
      <c r="E17" s="550" t="s">
        <v>326</v>
      </c>
    </row>
    <row r="18" spans="3:5" ht="16" thickBot="1">
      <c r="C18" s="548" t="s">
        <v>283</v>
      </c>
      <c r="D18" s="549" t="s">
        <v>419</v>
      </c>
      <c r="E18" s="550" t="s">
        <v>325</v>
      </c>
    </row>
    <row r="19" spans="3:5" ht="16" thickBot="1">
      <c r="C19" s="545" t="s">
        <v>420</v>
      </c>
      <c r="D19" s="546" t="s">
        <v>421</v>
      </c>
      <c r="E19" s="550" t="s">
        <v>422</v>
      </c>
    </row>
    <row r="20" spans="3:5" ht="16" thickBot="1">
      <c r="C20" s="548" t="s">
        <v>423</v>
      </c>
      <c r="D20" s="549" t="s">
        <v>424</v>
      </c>
      <c r="E20" s="550" t="s">
        <v>425</v>
      </c>
    </row>
  </sheetData>
  <hyperlinks>
    <hyperlink ref="D2" r:id="rId1" tooltip="mailto:larmas@somosgrupoag.com" display="mailto:larmas@somosgrupoag.com" xr:uid="{BA8A8DB7-E884-42EE-9E05-D876A0520F8D}"/>
    <hyperlink ref="D3" r:id="rId2" tooltip="mailto:gsolorzano@bekaert.com" display="mailto:gsolorzano@bekaert.com" xr:uid="{25E015A3-1390-45A7-B67C-70CF2FA7BA70}"/>
    <hyperlink ref="D4" r:id="rId3" tooltip="mailto:lcordero@bekaert.com" display="mailto:lcordero@bekaert.com" xr:uid="{C83703C5-6BC1-47C2-9457-C0D46A810880}"/>
    <hyperlink ref="D5" r:id="rId4" tooltip="mailto:aguerron@bekaert.com" display="mailto:aguerron@bekaert.com" xr:uid="{242C8754-E2E9-4D77-8947-BBFC4AEE79FE}"/>
    <hyperlink ref="D6" r:id="rId5" tooltip="mailto:dgutierrez@bekaert.com" display="mailto:dgutierrez@bekaert.com" xr:uid="{7C58B914-606C-4D59-8EAD-9674FDA6FDA3}"/>
    <hyperlink ref="D7" r:id="rId6" tooltip="mailto:ajacome@bekaert.com" display="mailto:ajacome@bekaert.com" xr:uid="{1B039833-89E2-4B80-9C3C-9C48D33AF0D9}"/>
    <hyperlink ref="D8" r:id="rId7" tooltip="mailto:ejordan@bekaert.com" display="mailto:ejordan@bekaert.com" xr:uid="{EDFBD5A7-56AE-43E5-A64B-BD8A1DF9E1AF}"/>
    <hyperlink ref="D9" r:id="rId8" tooltip="mailto:fmarquez@bekaert.com" display="mailto:fmarquez@bekaert.com" xr:uid="{62960BE7-279D-4FB8-B6AA-7D165E1E6270}"/>
    <hyperlink ref="D10" r:id="rId9" tooltip="mailto:mnaranjo@bekaert.com" display="mailto:mnaranjo@bekaert.com" xr:uid="{DACF89A0-AE9A-4460-8010-670D2A183FB0}"/>
    <hyperlink ref="D11" r:id="rId10" tooltip="mailto:fperez@bekaert.com" display="mailto:fperez@bekaert.com" xr:uid="{DB215880-4876-4446-A0BB-34518A5ACF83}"/>
    <hyperlink ref="D12" r:id="rId11" tooltip="mailto:jproano@bekaert.com" display="mailto:jproano@bekaert.com" xr:uid="{89C12592-8AAE-4D4F-A237-1B4EAB3EC53A}"/>
    <hyperlink ref="D13" r:id="rId12" tooltip="mailto:vrodas@bekaert.com" display="mailto:vrodas@bekaert.com" xr:uid="{A8092539-5A62-4627-A1FF-C19186DD3808}"/>
    <hyperlink ref="D14" r:id="rId13" tooltip="mailto:fruano@bekaert.com" display="mailto:fruano@bekaert.com" xr:uid="{E603831D-1268-4253-8997-4E371DB809C0}"/>
    <hyperlink ref="D15" r:id="rId14" tooltip="mailto:eruiz@bekaert.com" display="mailto:eruiz@bekaert.com" xr:uid="{3A50812F-5619-466C-91E8-E8862FF8DC0A}"/>
    <hyperlink ref="D16" r:id="rId15" tooltip="mailto:vsalcedo@bekaert.com" display="mailto:vsalcedo@bekaert.com" xr:uid="{9C2CD510-79BC-4ACA-833E-DDADCC7BBE1C}"/>
    <hyperlink ref="D17" r:id="rId16" tooltip="mailto:fulquiango@bekaert.com" display="mailto:fulquiango@bekaert.com" xr:uid="{813B9C6C-6373-4BCD-9911-852BD2053DF1}"/>
    <hyperlink ref="D18" r:id="rId17" tooltip="mailto:cvillacres@bekaert.com" display="mailto:cvillacres@bekaert.com" xr:uid="{D470C347-81CD-49EE-BE50-DD51A60BD664}"/>
    <hyperlink ref="D19" r:id="rId18" tooltip="mailto:wbriceno@somosgrupoag.com" display="mailto:wbriceno@somosgrupoag.com" xr:uid="{97A368C7-56AE-4DB6-80C2-80B359361826}"/>
    <hyperlink ref="D20" r:id="rId19" tooltip="mailto:igonzale@somosgrupoag.com" display="mailto:igonzale@somosgrupoag.com" xr:uid="{41033F8F-FF79-4582-9B7E-A17C0F2695D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4A17D-005C-447D-AD12-45875654EA9B}">
  <sheetPr codeName="Hoja6">
    <pageSetUpPr fitToPage="1"/>
  </sheetPr>
  <dimension ref="C3:E10"/>
  <sheetViews>
    <sheetView showGridLines="0" view="pageBreakPreview" zoomScale="115" zoomScaleNormal="100" zoomScaleSheetLayoutView="115" workbookViewId="0">
      <selection activeCell="C4" sqref="C4:E4"/>
    </sheetView>
  </sheetViews>
  <sheetFormatPr baseColWidth="10" defaultColWidth="11.54296875" defaultRowHeight="12.5"/>
  <cols>
    <col min="1" max="1" width="11.54296875" style="107"/>
    <col min="2" max="2" width="13.54296875" style="107" customWidth="1"/>
    <col min="3" max="3" width="51.08984375" style="107" bestFit="1" customWidth="1"/>
    <col min="4" max="16384" width="11.54296875" style="107"/>
  </cols>
  <sheetData>
    <row r="3" spans="3:5" ht="37.5" customHeight="1">
      <c r="C3" s="566"/>
      <c r="D3" s="566"/>
      <c r="E3" s="566"/>
    </row>
    <row r="4" spans="3:5" ht="34.5" customHeight="1">
      <c r="C4" s="567"/>
      <c r="D4" s="567"/>
      <c r="E4" s="567"/>
    </row>
    <row r="5" spans="3:5" ht="71.400000000000006" customHeight="1">
      <c r="C5"/>
    </row>
    <row r="6" spans="3:5" ht="71.400000000000006" customHeight="1">
      <c r="C6"/>
    </row>
    <row r="7" spans="3:5" ht="71.400000000000006" customHeight="1">
      <c r="C7"/>
    </row>
    <row r="8" spans="3:5" ht="107.25" customHeight="1"/>
    <row r="9" spans="3:5" ht="107.25" hidden="1" customHeight="1"/>
    <row r="10" spans="3:5" ht="107.25" hidden="1" customHeight="1"/>
  </sheetData>
  <mergeCells count="2">
    <mergeCell ref="C3:E3"/>
    <mergeCell ref="C4:E4"/>
  </mergeCells>
  <pageMargins left="0.70866141732283472" right="0.70866141732283472" top="0.74803149606299213" bottom="0.74803149606299213" header="0.31496062992125984" footer="0.31496062992125984"/>
  <pageSetup scale="7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Calculo">
                <anchor moveWithCells="1" sizeWithCells="1">
                  <from>
                    <xdr:col>3</xdr:col>
                    <xdr:colOff>546100</xdr:colOff>
                    <xdr:row>5</xdr:row>
                    <xdr:rowOff>25400</xdr:rowOff>
                  </from>
                  <to>
                    <xdr:col>5</xdr:col>
                    <xdr:colOff>457200</xdr:colOff>
                    <xdr:row>5</xdr:row>
                    <xdr:rowOff>596900</xdr:rowOff>
                  </to>
                </anchor>
              </controlPr>
            </control>
          </mc:Choice>
        </mc:AlternateContent>
        <mc:AlternateContent xmlns:mc="http://schemas.openxmlformats.org/markup-compatibility/2006">
          <mc:Choice Requires="x14">
            <control shapeId="17414" r:id="rId5" name="Button 6">
              <controlPr defaultSize="0" print="0" autoFill="0" autoPict="0" macro="[0]!Cubicador">
                <anchor moveWithCells="1" sizeWithCells="1">
                  <from>
                    <xdr:col>3</xdr:col>
                    <xdr:colOff>527050</xdr:colOff>
                    <xdr:row>6</xdr:row>
                    <xdr:rowOff>152400</xdr:rowOff>
                  </from>
                  <to>
                    <xdr:col>5</xdr:col>
                    <xdr:colOff>495300</xdr:colOff>
                    <xdr:row>6</xdr:row>
                    <xdr:rowOff>685800</xdr:rowOff>
                  </to>
                </anchor>
              </controlPr>
            </control>
          </mc:Choice>
        </mc:AlternateContent>
        <mc:AlternateContent xmlns:mc="http://schemas.openxmlformats.org/markup-compatibility/2006">
          <mc:Choice Requires="x14">
            <control shapeId="17415" r:id="rId6" name="Button 7">
              <controlPr defaultSize="0" print="0" autoFill="0" autoPict="0" macro="[0]!LINEAL">
                <anchor moveWithCells="1" sizeWithCells="1">
                  <from>
                    <xdr:col>3</xdr:col>
                    <xdr:colOff>546100</xdr:colOff>
                    <xdr:row>7</xdr:row>
                    <xdr:rowOff>228600</xdr:rowOff>
                  </from>
                  <to>
                    <xdr:col>5</xdr:col>
                    <xdr:colOff>482600</xdr:colOff>
                    <xdr:row>7</xdr:row>
                    <xdr:rowOff>762000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2F56B-C8B3-41DA-84A6-0ADE7F51B4D7}">
  <sheetPr codeName="Hoja3"/>
  <dimension ref="B4:S47"/>
  <sheetViews>
    <sheetView showGridLines="0" tabSelected="1" topLeftCell="A25" zoomScale="70" zoomScaleNormal="70" workbookViewId="0">
      <selection activeCell="C4" sqref="C4"/>
    </sheetView>
  </sheetViews>
  <sheetFormatPr baseColWidth="10" defaultRowHeight="14.5"/>
  <cols>
    <col min="1" max="1" width="10.36328125" customWidth="1"/>
    <col min="3" max="3" width="24.90625" bestFit="1" customWidth="1"/>
    <col min="6" max="6" width="31.81640625" customWidth="1"/>
    <col min="11" max="19" width="11.54296875" hidden="1" customWidth="1"/>
    <col min="20" max="21" width="11.54296875" customWidth="1"/>
  </cols>
  <sheetData>
    <row r="4" spans="2:17" ht="31.25" customHeight="1">
      <c r="C4" s="247" t="s">
        <v>100</v>
      </c>
      <c r="D4" s="85"/>
      <c r="E4" s="85"/>
      <c r="F4" s="555" t="s">
        <v>120</v>
      </c>
      <c r="G4" s="555"/>
      <c r="H4" s="555"/>
    </row>
    <row r="5" spans="2:17" ht="31.25" customHeight="1">
      <c r="C5" s="85"/>
      <c r="D5" s="85"/>
      <c r="E5" s="85"/>
      <c r="F5" s="88"/>
      <c r="G5" s="88"/>
      <c r="K5" s="93" t="s">
        <v>100</v>
      </c>
    </row>
    <row r="7" spans="2:17">
      <c r="B7" s="557" t="s">
        <v>111</v>
      </c>
      <c r="C7" s="557"/>
      <c r="D7" s="557"/>
      <c r="E7" s="557"/>
      <c r="F7" s="557"/>
      <c r="G7" s="557"/>
      <c r="H7" s="557"/>
      <c r="K7" t="s">
        <v>104</v>
      </c>
      <c r="M7" s="87"/>
      <c r="P7" t="s">
        <v>105</v>
      </c>
      <c r="Q7" s="87"/>
    </row>
    <row r="8" spans="2:17">
      <c r="B8" t="s">
        <v>112</v>
      </c>
      <c r="D8" s="558" t="s">
        <v>352</v>
      </c>
      <c r="E8" s="558"/>
      <c r="F8" s="558"/>
      <c r="G8" s="558"/>
      <c r="H8" s="558"/>
      <c r="I8" s="558"/>
      <c r="K8" t="s">
        <v>106</v>
      </c>
      <c r="M8" s="87"/>
    </row>
    <row r="9" spans="2:17">
      <c r="B9" t="s">
        <v>175</v>
      </c>
      <c r="D9" s="248" t="s">
        <v>427</v>
      </c>
      <c r="E9" s="89"/>
      <c r="F9" s="89"/>
      <c r="G9" s="89"/>
      <c r="H9" s="89"/>
      <c r="I9" s="89"/>
      <c r="M9" s="87"/>
    </row>
    <row r="10" spans="2:17">
      <c r="B10" t="s">
        <v>113</v>
      </c>
      <c r="D10" s="559" t="s">
        <v>178</v>
      </c>
      <c r="E10" s="559"/>
      <c r="F10" s="559"/>
      <c r="G10" s="559"/>
      <c r="H10" s="559"/>
      <c r="I10" s="559"/>
      <c r="K10" t="s">
        <v>107</v>
      </c>
      <c r="M10" s="87"/>
    </row>
    <row r="11" spans="2:17">
      <c r="B11" t="s">
        <v>114</v>
      </c>
      <c r="D11" s="559" t="s">
        <v>176</v>
      </c>
      <c r="E11" s="559"/>
      <c r="F11" s="559"/>
      <c r="G11" s="559"/>
      <c r="H11" s="559"/>
      <c r="I11" s="559"/>
      <c r="K11" t="s">
        <v>108</v>
      </c>
      <c r="M11" s="87"/>
    </row>
    <row r="12" spans="2:17">
      <c r="B12" t="s">
        <v>115</v>
      </c>
      <c r="D12" s="559" t="s">
        <v>119</v>
      </c>
      <c r="E12" s="559"/>
      <c r="F12" s="559"/>
      <c r="G12" s="559"/>
      <c r="H12" s="559"/>
      <c r="I12" s="559"/>
      <c r="K12" t="s">
        <v>109</v>
      </c>
      <c r="M12" s="87"/>
    </row>
    <row r="13" spans="2:17">
      <c r="B13" t="s">
        <v>116</v>
      </c>
      <c r="D13" s="559" t="s">
        <v>428</v>
      </c>
      <c r="E13" s="559"/>
      <c r="F13" s="559"/>
      <c r="G13" s="559"/>
      <c r="H13" s="559"/>
      <c r="I13" s="559"/>
      <c r="K13" t="s">
        <v>110</v>
      </c>
      <c r="M13" s="87"/>
    </row>
    <row r="14" spans="2:17">
      <c r="B14" t="s">
        <v>117</v>
      </c>
      <c r="D14" s="559" t="s">
        <v>353</v>
      </c>
      <c r="E14" s="559"/>
      <c r="F14" s="559"/>
      <c r="G14" s="559"/>
      <c r="H14" s="559"/>
      <c r="I14" s="559"/>
    </row>
    <row r="15" spans="2:17">
      <c r="B15" t="s">
        <v>177</v>
      </c>
      <c r="D15" s="249">
        <v>44845</v>
      </c>
      <c r="E15" s="90"/>
      <c r="F15" s="90"/>
      <c r="G15" s="90"/>
      <c r="H15" s="90"/>
      <c r="I15" s="90"/>
    </row>
    <row r="18" spans="2:17">
      <c r="K18" s="93" t="s">
        <v>101</v>
      </c>
    </row>
    <row r="19" spans="2:17" ht="15.5">
      <c r="F19" s="86"/>
      <c r="K19" s="556" t="s">
        <v>103</v>
      </c>
      <c r="L19" s="556"/>
      <c r="M19" s="556"/>
      <c r="N19" s="556"/>
      <c r="O19" s="556"/>
      <c r="P19" s="556"/>
      <c r="Q19" s="556"/>
    </row>
    <row r="20" spans="2:17" ht="15.5">
      <c r="B20" s="556" t="s">
        <v>103</v>
      </c>
      <c r="C20" s="556"/>
      <c r="D20" s="556"/>
      <c r="E20" s="556"/>
      <c r="F20" s="556"/>
      <c r="G20" s="556"/>
      <c r="H20" s="556"/>
    </row>
    <row r="21" spans="2:17">
      <c r="M21" s="87"/>
      <c r="Q21" s="87"/>
    </row>
    <row r="22" spans="2:17">
      <c r="B22" t="s">
        <v>104</v>
      </c>
      <c r="D22" s="250">
        <v>130</v>
      </c>
      <c r="G22" t="s">
        <v>105</v>
      </c>
      <c r="H22" s="254" t="s">
        <v>9</v>
      </c>
      <c r="M22" s="87"/>
    </row>
    <row r="23" spans="2:17">
      <c r="B23" t="s">
        <v>106</v>
      </c>
      <c r="D23" s="250" t="s">
        <v>143</v>
      </c>
      <c r="M23" s="87"/>
    </row>
    <row r="24" spans="2:17">
      <c r="B24" s="94" t="s">
        <v>129</v>
      </c>
      <c r="C24" s="94"/>
      <c r="D24" s="251" t="s">
        <v>143</v>
      </c>
      <c r="M24" s="87"/>
    </row>
    <row r="25" spans="2:17">
      <c r="B25" t="s">
        <v>236</v>
      </c>
      <c r="D25" s="252">
        <v>0</v>
      </c>
    </row>
    <row r="26" spans="2:17">
      <c r="B26" t="s">
        <v>130</v>
      </c>
      <c r="D26" s="253">
        <v>2.08</v>
      </c>
      <c r="E26" s="246">
        <v>3</v>
      </c>
      <c r="K26" s="93"/>
    </row>
    <row r="27" spans="2:17">
      <c r="B27" t="s">
        <v>110</v>
      </c>
      <c r="D27" s="250" t="s">
        <v>21</v>
      </c>
    </row>
    <row r="28" spans="2:17" ht="15.5">
      <c r="B28" s="94" t="s">
        <v>123</v>
      </c>
      <c r="C28" s="94"/>
      <c r="D28" s="251"/>
      <c r="F28" s="560" t="s">
        <v>219</v>
      </c>
      <c r="G28" s="561"/>
      <c r="H28" s="255">
        <v>0</v>
      </c>
      <c r="K28" s="556"/>
      <c r="L28" s="556"/>
      <c r="M28" s="556"/>
      <c r="N28" s="556"/>
      <c r="O28" s="556"/>
      <c r="P28" s="556"/>
      <c r="Q28" s="556"/>
    </row>
    <row r="29" spans="2:17">
      <c r="B29" t="s">
        <v>348</v>
      </c>
      <c r="D29" s="250" t="s">
        <v>143</v>
      </c>
      <c r="F29" s="560" t="s">
        <v>220</v>
      </c>
      <c r="G29" s="561"/>
      <c r="H29" s="255">
        <v>0</v>
      </c>
    </row>
    <row r="33" spans="3:18">
      <c r="K33" t="s">
        <v>104</v>
      </c>
      <c r="M33" s="87"/>
      <c r="P33" t="s">
        <v>105</v>
      </c>
      <c r="Q33" s="87"/>
    </row>
    <row r="34" spans="3:18">
      <c r="M34" s="87"/>
    </row>
    <row r="35" spans="3:18">
      <c r="C35" t="s">
        <v>252</v>
      </c>
      <c r="D35" s="562" t="s">
        <v>272</v>
      </c>
      <c r="E35" s="562"/>
      <c r="F35" s="562"/>
      <c r="M35" s="87"/>
    </row>
    <row r="36" spans="3:18">
      <c r="C36" t="s">
        <v>305</v>
      </c>
      <c r="D36" s="94" t="str">
        <f>+VLOOKUP(D35,'DATOS (1)'!C2:E30,2,FALSE)</f>
        <v>mnaranjo@somosgrupoag.com</v>
      </c>
      <c r="E36" s="94"/>
      <c r="F36" s="94"/>
      <c r="M36" s="87"/>
    </row>
    <row r="37" spans="3:18">
      <c r="C37" t="s">
        <v>251</v>
      </c>
      <c r="D37" s="94" t="str">
        <f>+VLOOKUP(D35,'DATOS (1)'!C2:E30,3,FALSE)</f>
        <v>+593 98 535 0069</v>
      </c>
      <c r="E37" s="94"/>
      <c r="F37" s="94"/>
      <c r="M37" s="87"/>
    </row>
    <row r="38" spans="3:18">
      <c r="M38" s="87"/>
    </row>
    <row r="40" spans="3:18">
      <c r="K40" s="93" t="s">
        <v>125</v>
      </c>
    </row>
    <row r="41" spans="3:18">
      <c r="P41" s="86"/>
    </row>
    <row r="42" spans="3:18" ht="15.5">
      <c r="L42" s="556" t="s">
        <v>103</v>
      </c>
      <c r="M42" s="556"/>
      <c r="N42" s="556"/>
      <c r="O42" s="556"/>
      <c r="P42" s="556"/>
      <c r="Q42" s="556"/>
      <c r="R42" s="556"/>
    </row>
    <row r="44" spans="3:18">
      <c r="K44" t="s">
        <v>104</v>
      </c>
      <c r="M44" s="87"/>
      <c r="Q44" t="s">
        <v>105</v>
      </c>
      <c r="R44" s="87"/>
    </row>
    <row r="45" spans="3:18">
      <c r="K45" t="s">
        <v>124</v>
      </c>
      <c r="M45" s="87"/>
    </row>
    <row r="46" spans="3:18">
      <c r="K46" t="s">
        <v>109</v>
      </c>
      <c r="M46" s="87"/>
    </row>
    <row r="47" spans="3:18">
      <c r="K47" t="s">
        <v>110</v>
      </c>
      <c r="M47" s="87"/>
    </row>
  </sheetData>
  <mergeCells count="15">
    <mergeCell ref="F4:H4"/>
    <mergeCell ref="K19:Q19"/>
    <mergeCell ref="K28:Q28"/>
    <mergeCell ref="L42:R42"/>
    <mergeCell ref="B20:H20"/>
    <mergeCell ref="B7:H7"/>
    <mergeCell ref="D8:I8"/>
    <mergeCell ref="D10:I10"/>
    <mergeCell ref="D11:I11"/>
    <mergeCell ref="D12:I12"/>
    <mergeCell ref="D13:I13"/>
    <mergeCell ref="D14:I14"/>
    <mergeCell ref="F28:G28"/>
    <mergeCell ref="F29:G29"/>
    <mergeCell ref="D35:F35"/>
  </mergeCells>
  <conditionalFormatting sqref="D22:D27">
    <cfRule type="expression" dxfId="363" priority="10">
      <formula>$C$4="PERIMETRAL"</formula>
    </cfRule>
  </conditionalFormatting>
  <conditionalFormatting sqref="D22 D25:D27">
    <cfRule type="expression" dxfId="362" priority="6">
      <formula>$C$4="MAXIMA SEGURIDAD"</formula>
    </cfRule>
    <cfRule type="expression" dxfId="361" priority="8">
      <formula>$C$4="URBANA"</formula>
    </cfRule>
  </conditionalFormatting>
  <conditionalFormatting sqref="D22 D27:D29">
    <cfRule type="expression" dxfId="360" priority="7">
      <formula>$C$4="INTRADOMICILIARIA"</formula>
    </cfRule>
  </conditionalFormatting>
  <conditionalFormatting sqref="D29">
    <cfRule type="expression" dxfId="359" priority="3">
      <formula>$C$4="PERIMETRAL"</formula>
    </cfRule>
  </conditionalFormatting>
  <conditionalFormatting sqref="D29">
    <cfRule type="expression" dxfId="358" priority="1">
      <formula>$C$4="MAXIMA SEGURIDAD"</formula>
    </cfRule>
    <cfRule type="expression" dxfId="357" priority="2">
      <formula>$C$4="URBANA"</formula>
    </cfRule>
  </conditionalFormatting>
  <dataValidations xWindow="536" yWindow="771" count="1">
    <dataValidation allowBlank="1" showInputMessage="1" showErrorMessage="1" promptTitle="Terreno Escalonado" prompt="Indicar el porcentaje de la longitud que el terreno esta inclinado." sqref="D25" xr:uid="{3482E08C-7891-4EE2-A1D9-A5F90326D65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Salida">
                <anchor moveWithCells="1" sizeWithCells="1">
                  <from>
                    <xdr:col>5</xdr:col>
                    <xdr:colOff>527050</xdr:colOff>
                    <xdr:row>39</xdr:row>
                    <xdr:rowOff>12700</xdr:rowOff>
                  </from>
                  <to>
                    <xdr:col>5</xdr:col>
                    <xdr:colOff>1746250</xdr:colOff>
                    <xdr:row>40</xdr:row>
                    <xdr:rowOff>158750</xdr:rowOff>
                  </to>
                </anchor>
              </controlPr>
            </control>
          </mc:Choice>
        </mc:AlternateContent>
        <mc:AlternateContent xmlns:mc="http://schemas.openxmlformats.org/markup-compatibility/2006">
          <mc:Choice Requires="x14">
            <control shapeId="3131" r:id="rId5" name="Button 59">
              <controlPr defaultSize="0" print="0" autoFill="0" autoPict="0" macro="[0]!regresarmenuprincipal">
                <anchor moveWithCells="1" sizeWithCells="1">
                  <from>
                    <xdr:col>2</xdr:col>
                    <xdr:colOff>1612900</xdr:colOff>
                    <xdr:row>39</xdr:row>
                    <xdr:rowOff>6350</xdr:rowOff>
                  </from>
                  <to>
                    <xdr:col>4</xdr:col>
                    <xdr:colOff>266700</xdr:colOff>
                    <xdr:row>40</xdr:row>
                    <xdr:rowOff>120650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36" yWindow="771" count="10">
        <x14:dataValidation type="list" allowBlank="1" showInputMessage="1" showErrorMessage="1" xr:uid="{943DFF52-69F7-48DB-B95C-DB38052DFAD5}">
          <x14:formula1>
            <xm:f>'DATOS PARTIDA'!$A$5:$A$11</xm:f>
          </x14:formula1>
          <xm:sqref>H22</xm:sqref>
        </x14:dataValidation>
        <x14:dataValidation type="list" allowBlank="1" showInputMessage="1" showErrorMessage="1" xr:uid="{8590DDC2-2594-4EDA-8020-C0B0A6B380F7}">
          <x14:formula1>
            <xm:f>'DATOS PARTIDA'!$A$16:$A$19</xm:f>
          </x14:formula1>
          <xm:sqref>C4</xm:sqref>
        </x14:dataValidation>
        <x14:dataValidation type="list" allowBlank="1" showInputMessage="1" showErrorMessage="1" xr:uid="{5E4DE70F-79FB-496B-8C7A-6C09A72ADE76}">
          <x14:formula1>
            <xm:f>Calculo!$M$3:$M$8</xm:f>
          </x14:formula1>
          <xm:sqref>D26</xm:sqref>
        </x14:dataValidation>
        <x14:dataValidation type="list" allowBlank="1" showInputMessage="1" showErrorMessage="1" xr:uid="{C6211287-C5AF-444B-BABE-7C11C328BCA5}">
          <x14:formula1>
            <xm:f>Calculo!#REF!</xm:f>
          </x14:formula1>
          <xm:sqref>D27</xm:sqref>
        </x14:dataValidation>
        <x14:dataValidation type="list" allowBlank="1" showInputMessage="1" showErrorMessage="1" xr:uid="{4AAE9DD4-AAEC-479D-8F39-F5E21F33C612}">
          <x14:formula1>
            <xm:f>Calculo!$P$2:$P$3</xm:f>
          </x14:formula1>
          <xm:sqref>D23</xm:sqref>
        </x14:dataValidation>
        <x14:dataValidation type="list" allowBlank="1" showInputMessage="1" showErrorMessage="1" xr:uid="{BEABDC90-F92D-4436-AD7D-78445D00A7E3}">
          <x14:formula1>
            <xm:f>Calculo!$S$2:$S$3</xm:f>
          </x14:formula1>
          <xm:sqref>D24</xm:sqref>
        </x14:dataValidation>
        <x14:dataValidation type="list" allowBlank="1" showInputMessage="1" showErrorMessage="1" xr:uid="{D8C491F5-E84F-45FF-AA46-213CC40B3D99}">
          <x14:formula1>
            <xm:f>Calculo!$G$101:$G$103</xm:f>
          </x14:formula1>
          <xm:sqref>E26</xm:sqref>
        </x14:dataValidation>
        <x14:dataValidation type="list" allowBlank="1" showInputMessage="1" showErrorMessage="1" xr:uid="{49DACCEA-076F-4150-9699-346C066BC279}">
          <x14:formula1>
            <xm:f>'DATOS (1)'!$C$2:$C$30</xm:f>
          </x14:formula1>
          <xm:sqref>D35:F35</xm:sqref>
        </x14:dataValidation>
        <x14:dataValidation type="list" allowBlank="1" showInputMessage="1" showErrorMessage="1" xr:uid="{09CB4C57-FBC9-429B-B743-EA6596890E7C}">
          <x14:formula1>
            <xm:f>Calculo!$P$6:$P$7</xm:f>
          </x14:formula1>
          <xm:sqref>D29</xm:sqref>
        </x14:dataValidation>
        <x14:dataValidation type="custom" allowBlank="1" showInputMessage="1" showErrorMessage="1" xr:uid="{B0EC3C3F-6577-4A01-B741-F37B9B1574A3}">
          <x14:formula1>
            <xm:f>+AND(H28&gt;='DATOS PARTIDA'!B27,H28&lt;='DATOS PARTIDA'!C27)</xm:f>
          </x14:formula1>
          <xm:sqref>H28:H29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141F-D213-45F2-8407-D745E4DDB668}">
  <sheetPr codeName="Hoja4"/>
  <dimension ref="A1:CL122"/>
  <sheetViews>
    <sheetView zoomScale="85" zoomScaleNormal="85" workbookViewId="0">
      <selection activeCell="F23" sqref="F23"/>
    </sheetView>
  </sheetViews>
  <sheetFormatPr baseColWidth="10" defaultRowHeight="14.5"/>
  <cols>
    <col min="1" max="1" width="17.6328125" customWidth="1"/>
    <col min="2" max="2" width="51.6328125" bestFit="1" customWidth="1"/>
    <col min="3" max="3" width="12.1796875" bestFit="1" customWidth="1"/>
    <col min="4" max="4" width="15.54296875" customWidth="1"/>
    <col min="5" max="5" width="11.6328125" customWidth="1"/>
    <col min="8" max="8" width="16.54296875" customWidth="1"/>
    <col min="10" max="10" width="17" customWidth="1"/>
    <col min="11" max="11" width="44.6328125" bestFit="1" customWidth="1"/>
    <col min="13" max="13" width="14.453125" bestFit="1" customWidth="1"/>
    <col min="15" max="15" width="19.453125" bestFit="1" customWidth="1"/>
    <col min="17" max="17" width="15" bestFit="1" customWidth="1"/>
    <col min="20" max="20" width="38" bestFit="1" customWidth="1"/>
    <col min="25" max="25" width="15" bestFit="1" customWidth="1"/>
    <col min="28" max="28" width="42.453125" customWidth="1"/>
    <col min="31" max="31" width="15" bestFit="1" customWidth="1"/>
    <col min="33" max="33" width="16.453125" customWidth="1"/>
    <col min="34" max="34" width="34.54296875" bestFit="1" customWidth="1"/>
    <col min="35" max="35" width="9.90625" customWidth="1"/>
    <col min="36" max="37" width="14.6328125" customWidth="1"/>
    <col min="38" max="38" width="3.08984375" customWidth="1"/>
    <col min="39" max="39" width="14.6328125" customWidth="1"/>
    <col min="40" max="40" width="35.453125" bestFit="1" customWidth="1"/>
    <col min="41" max="42" width="14.6328125" customWidth="1"/>
    <col min="43" max="43" width="14.6328125" bestFit="1" customWidth="1"/>
    <col min="44" max="44" width="14.6328125" customWidth="1"/>
    <col min="45" max="45" width="29.453125" bestFit="1" customWidth="1"/>
    <col min="46" max="47" width="14.6328125" customWidth="1"/>
    <col min="48" max="48" width="3.54296875" customWidth="1"/>
    <col min="49" max="52" width="14.6328125" customWidth="1"/>
    <col min="53" max="53" width="3.6328125" customWidth="1"/>
    <col min="54" max="54" width="14.6328125" customWidth="1"/>
    <col min="55" max="55" width="24" bestFit="1" customWidth="1"/>
    <col min="56" max="57" width="14.6328125" customWidth="1"/>
    <col min="58" max="58" width="4" customWidth="1"/>
    <col min="59" max="60" width="14.6328125" customWidth="1"/>
    <col min="62" max="62" width="15" bestFit="1" customWidth="1"/>
    <col min="63" max="63" width="4.36328125" customWidth="1"/>
    <col min="65" max="65" width="21.36328125" bestFit="1" customWidth="1"/>
    <col min="67" max="67" width="15" bestFit="1" customWidth="1"/>
    <col min="70" max="70" width="39" bestFit="1" customWidth="1"/>
    <col min="72" max="72" width="15" bestFit="1" customWidth="1"/>
    <col min="75" max="75" width="17.453125" bestFit="1" customWidth="1"/>
    <col min="77" max="77" width="15" bestFit="1" customWidth="1"/>
    <col min="80" max="80" width="22.6328125" bestFit="1" customWidth="1"/>
    <col min="82" max="82" width="15" bestFit="1" customWidth="1"/>
    <col min="85" max="85" width="19.08984375" bestFit="1" customWidth="1"/>
    <col min="87" max="87" width="15" bestFit="1" customWidth="1"/>
    <col min="89" max="89" width="15.1796875" bestFit="1" customWidth="1"/>
    <col min="91" max="91" width="15" bestFit="1" customWidth="1"/>
  </cols>
  <sheetData>
    <row r="1" spans="1:30">
      <c r="A1" s="93" t="s">
        <v>100</v>
      </c>
      <c r="M1" s="93"/>
      <c r="N1" s="93"/>
      <c r="O1" s="93"/>
      <c r="P1" s="93"/>
    </row>
    <row r="2" spans="1:30">
      <c r="A2" s="93"/>
      <c r="I2" s="174" t="s">
        <v>189</v>
      </c>
      <c r="J2" s="168" t="s">
        <v>190</v>
      </c>
      <c r="K2" s="175" t="s">
        <v>99</v>
      </c>
      <c r="M2" s="176" t="s">
        <v>128</v>
      </c>
      <c r="N2" s="92"/>
      <c r="O2" s="176" t="s">
        <v>180</v>
      </c>
      <c r="P2" s="95" t="s">
        <v>127</v>
      </c>
      <c r="R2" s="176" t="s">
        <v>211</v>
      </c>
      <c r="S2" s="95" t="s">
        <v>127</v>
      </c>
      <c r="U2" s="176">
        <f>+B11</f>
        <v>0</v>
      </c>
      <c r="V2" s="95" t="s">
        <v>229</v>
      </c>
      <c r="W2" s="204"/>
      <c r="X2" s="204"/>
      <c r="Y2" s="204"/>
    </row>
    <row r="3" spans="1:30">
      <c r="A3" s="93" t="s">
        <v>185</v>
      </c>
      <c r="B3" s="92" t="s">
        <v>160</v>
      </c>
      <c r="E3" t="s">
        <v>139</v>
      </c>
      <c r="G3" t="s">
        <v>180</v>
      </c>
      <c r="I3" s="87" t="s">
        <v>5</v>
      </c>
      <c r="J3" s="173">
        <f>+CP_2026!F7</f>
        <v>0.2</v>
      </c>
      <c r="K3" s="95" t="s">
        <v>100</v>
      </c>
      <c r="L3">
        <v>3</v>
      </c>
      <c r="M3" s="95">
        <f>+IF(Ingreso!$C$4="PERIMETRAL",Calculo!M14,+IF(Ingreso!$C$4="URBANA",N14,+IF(Ingreso!$C$4="INTRADOMICILIARIA",O14,+IF(Ingreso!$C$4="MAXIMA SEGURIDAD",P14))))</f>
        <v>1.1100000000000001</v>
      </c>
      <c r="P3" s="95" t="s">
        <v>143</v>
      </c>
      <c r="S3" s="95" t="s">
        <v>143</v>
      </c>
      <c r="U3" s="204"/>
      <c r="V3" s="204"/>
      <c r="W3" s="204"/>
      <c r="X3" s="204"/>
      <c r="Y3" s="204"/>
    </row>
    <row r="4" spans="1:30">
      <c r="A4" t="s">
        <v>138</v>
      </c>
      <c r="B4" s="95">
        <f>+Ingreso!D22</f>
        <v>130</v>
      </c>
      <c r="D4" t="s">
        <v>181</v>
      </c>
      <c r="E4" s="95" t="str">
        <f>+L36</f>
        <v>60 X 60</v>
      </c>
      <c r="G4" s="95" t="str">
        <f>+U36</f>
        <v>60 x 60</v>
      </c>
      <c r="I4" s="87" t="s">
        <v>6</v>
      </c>
      <c r="J4" s="173">
        <f>+CP_2026!G7</f>
        <v>0.185</v>
      </c>
      <c r="K4" s="95" t="s">
        <v>101</v>
      </c>
      <c r="L4">
        <v>4</v>
      </c>
      <c r="M4" s="95">
        <f>+IF(Ingreso!$C$4="PERIMETRAL",Calculo!M15,+IF(Ingreso!$C$4="URBANA",N15,+IF(Ingreso!$C$4="INTRADOMICILIARIA",O15,+IF(Ingreso!$C$4="MAXIMA SEGURIDAD",P15))))</f>
        <v>2.08</v>
      </c>
      <c r="U4" s="204"/>
      <c r="V4" s="95" t="s">
        <v>230</v>
      </c>
      <c r="W4" s="95" t="s">
        <v>230</v>
      </c>
      <c r="X4" s="95" t="s">
        <v>230</v>
      </c>
      <c r="Y4" s="95" t="s">
        <v>230</v>
      </c>
    </row>
    <row r="5" spans="1:30">
      <c r="A5" t="s">
        <v>179</v>
      </c>
      <c r="B5" s="95">
        <f>ROUNDUP(((B4/2.5)+(B4/2.5)*(E14)),0)</f>
        <v>52</v>
      </c>
      <c r="D5" t="s">
        <v>140</v>
      </c>
      <c r="E5" s="151">
        <f>+N36</f>
        <v>3.7</v>
      </c>
      <c r="G5" s="95">
        <f>+V36</f>
        <v>2.13</v>
      </c>
      <c r="I5" s="87" t="s">
        <v>7</v>
      </c>
      <c r="J5" s="173">
        <f>+CP_2026!H7</f>
        <v>0.17499999999999999</v>
      </c>
      <c r="K5" s="95" t="s">
        <v>102</v>
      </c>
      <c r="M5" s="95">
        <f>+IF(Ingreso!$C$4="PERIMETRAL",Calculo!M16,+IF(Ingreso!$C$4="URBANA",N16,+IF(Ingreso!$C$4="INTRADOMICILIARIA",O16,+IF(Ingreso!$C$4="MAXIMA SEGURIDAD",P16))))</f>
        <v>0</v>
      </c>
      <c r="U5" s="204"/>
      <c r="V5" s="95">
        <v>500</v>
      </c>
      <c r="W5" s="95">
        <v>400</v>
      </c>
      <c r="X5" s="95">
        <v>300</v>
      </c>
      <c r="Y5" s="95">
        <v>200</v>
      </c>
    </row>
    <row r="6" spans="1:30">
      <c r="A6" t="s">
        <v>142</v>
      </c>
      <c r="B6" s="95">
        <f>+B5+1</f>
        <v>53</v>
      </c>
      <c r="D6" t="s">
        <v>141</v>
      </c>
      <c r="E6" s="147"/>
      <c r="G6" s="147"/>
      <c r="I6" s="87" t="s">
        <v>8</v>
      </c>
      <c r="J6" s="173">
        <f>+CP_2026!I7</f>
        <v>0.17499999999999999</v>
      </c>
      <c r="K6" s="95" t="s">
        <v>126</v>
      </c>
      <c r="L6">
        <v>6</v>
      </c>
      <c r="M6" s="95">
        <f>+IF(Ingreso!$C$4="PERIMETRAL",Calculo!M17,+IF(Ingreso!$C$4="URBANA",N17,+IF(Ingreso!$C$4="INTRADOMICILIARIA",O17,+IF(Ingreso!$C$4="MAXIMA SEGURIDAD",P17))))</f>
        <v>2.4</v>
      </c>
      <c r="O6" s="176" t="s">
        <v>350</v>
      </c>
      <c r="P6" s="95" t="s">
        <v>127</v>
      </c>
      <c r="U6" s="204"/>
      <c r="V6" s="95"/>
      <c r="W6" s="95">
        <f>IF((V5*V7)&gt;U2,0,(U2-(V5*V7)))</f>
        <v>0</v>
      </c>
      <c r="X6" s="95">
        <f>IF((W5*W7)&gt;W6,0,(W6-(W5*W7)))</f>
        <v>0</v>
      </c>
      <c r="Y6" s="95">
        <f>IF((X5*X7)&gt;X6,0,(X6-(X5*X7)))</f>
        <v>0</v>
      </c>
    </row>
    <row r="7" spans="1:30">
      <c r="A7" t="s">
        <v>132</v>
      </c>
      <c r="B7" s="95">
        <f>+B6</f>
        <v>53</v>
      </c>
      <c r="D7" t="s">
        <v>142</v>
      </c>
      <c r="E7" s="95">
        <f>+B6</f>
        <v>53</v>
      </c>
      <c r="G7" s="95">
        <f>+E7</f>
        <v>53</v>
      </c>
      <c r="I7" s="87" t="s">
        <v>9</v>
      </c>
      <c r="J7" s="173">
        <f>+CP_2026!J7</f>
        <v>0.15104000000000001</v>
      </c>
      <c r="K7" s="95"/>
      <c r="L7">
        <v>7</v>
      </c>
      <c r="M7" s="95">
        <f>+IF(Ingreso!$C$4="PERIMETRAL",Calculo!M18,+IF(Ingreso!$C$4="URBANA",N18,+IF(Ingreso!$C$4="INTRADOMICILIARIA",O18,+IF(Ingreso!$C$4="MAXIMA SEGURIDAD",P18))))</f>
        <v>3.05</v>
      </c>
      <c r="O7" s="176" t="s">
        <v>351</v>
      </c>
      <c r="P7" s="95" t="s">
        <v>143</v>
      </c>
      <c r="U7" s="204"/>
      <c r="V7" s="206">
        <f>IF(U2&gt;400,IF(U2/500&lt;1,1,FLOOR((U2/500),1)),0)</f>
        <v>0</v>
      </c>
      <c r="W7" s="206">
        <f>IF(W6&gt;300,IF(W6/400&lt;1,1,FLOOR((W6/400),1)),0)</f>
        <v>0</v>
      </c>
      <c r="X7" s="206">
        <f>IF(X6&gt;200,IF(X6/300&lt;1,1,FLOOR((X6/300),1)),0)</f>
        <v>0</v>
      </c>
      <c r="Y7" s="206">
        <f>IF(Y6/200&lt;1,1,FLOOR((Y6/200),1))</f>
        <v>1</v>
      </c>
    </row>
    <row r="8" spans="1:30">
      <c r="A8" t="s">
        <v>133</v>
      </c>
      <c r="B8" s="95">
        <f>+B6*AC36</f>
        <v>265</v>
      </c>
      <c r="I8" s="87" t="s">
        <v>10</v>
      </c>
      <c r="J8" s="173">
        <f>+CP_2026!K7</f>
        <v>0.05</v>
      </c>
      <c r="K8" s="95"/>
      <c r="L8">
        <v>8</v>
      </c>
      <c r="M8" s="95">
        <f>+IF(Ingreso!$C$4="PERIMETRAL",Calculo!M19,+IF(Ingreso!$C$4="URBANA",N19,+IF(Ingreso!$C$4="INTRADOMICILIARIA",O19,+IF(Ingreso!$C$4="MAXIMA SEGURIDAD",P19))))</f>
        <v>4.0199999999999996</v>
      </c>
    </row>
    <row r="9" spans="1:30">
      <c r="A9" t="s">
        <v>134</v>
      </c>
      <c r="B9" s="95">
        <f>IF(E13="n",B8,B8+B6)</f>
        <v>265</v>
      </c>
      <c r="I9" s="87" t="s">
        <v>11</v>
      </c>
      <c r="J9" s="95"/>
      <c r="K9" s="95"/>
      <c r="M9" s="90"/>
      <c r="U9" s="207" t="s">
        <v>231</v>
      </c>
      <c r="V9" s="97">
        <f>+V7*V5+W7*W5+X7*X5+Y7*Y5</f>
        <v>200</v>
      </c>
    </row>
    <row r="10" spans="1:30">
      <c r="A10" t="s">
        <v>135</v>
      </c>
      <c r="B10" s="95">
        <f>IF(E13="s",B6,0)</f>
        <v>0</v>
      </c>
      <c r="D10" t="s">
        <v>98</v>
      </c>
      <c r="E10" s="220" t="str">
        <f>+Ingreso!H22</f>
        <v>Franquicia</v>
      </c>
      <c r="M10" s="90"/>
      <c r="U10" s="208">
        <v>1</v>
      </c>
      <c r="V10" s="208">
        <v>2</v>
      </c>
      <c r="W10" s="208">
        <v>3</v>
      </c>
      <c r="X10" s="208">
        <v>4</v>
      </c>
      <c r="Y10" s="208">
        <v>5</v>
      </c>
    </row>
    <row r="11" spans="1:30">
      <c r="A11" t="s">
        <v>136</v>
      </c>
      <c r="B11" s="95">
        <f>IF(E13="n",0,B4*3*1)</f>
        <v>0</v>
      </c>
      <c r="D11" t="s">
        <v>128</v>
      </c>
      <c r="E11" s="220">
        <f>+Ingreso!D26</f>
        <v>2.08</v>
      </c>
      <c r="I11" t="s">
        <v>389</v>
      </c>
      <c r="J11" s="471">
        <v>0.15</v>
      </c>
      <c r="U11" s="208"/>
      <c r="V11" s="208">
        <f>CEILING($U$2/V5,1)</f>
        <v>0</v>
      </c>
      <c r="W11" s="208">
        <f>CEILING($U$2/W5,1)</f>
        <v>0</v>
      </c>
      <c r="X11" s="208">
        <f>CEILING($U$2/X5,1)</f>
        <v>0</v>
      </c>
      <c r="Y11" s="208">
        <f>CEILING($U$2/Y5,1)</f>
        <v>0</v>
      </c>
    </row>
    <row r="12" spans="1:30">
      <c r="A12" s="94" t="s">
        <v>137</v>
      </c>
      <c r="B12" s="95">
        <f>+IF(B4&gt;=1200,B6,0)</f>
        <v>0</v>
      </c>
      <c r="D12" t="s">
        <v>180</v>
      </c>
      <c r="E12" s="219" t="str">
        <f>+Ingreso!D23</f>
        <v>N</v>
      </c>
      <c r="U12" s="208">
        <f>V9</f>
        <v>200</v>
      </c>
      <c r="V12" s="208">
        <f>V11*V5</f>
        <v>0</v>
      </c>
      <c r="W12" s="208">
        <f>W11*W5</f>
        <v>0</v>
      </c>
      <c r="X12" s="208">
        <f>X11*X5</f>
        <v>0</v>
      </c>
      <c r="Y12" s="208">
        <f>Y11*Y5</f>
        <v>0</v>
      </c>
    </row>
    <row r="13" spans="1:30">
      <c r="A13" t="s">
        <v>213</v>
      </c>
      <c r="B13" s="95">
        <f>+IF(B4&lt;25,1,ROUNDUP(B4/25,0))</f>
        <v>6</v>
      </c>
      <c r="D13" t="s">
        <v>211</v>
      </c>
      <c r="E13" s="219" t="str">
        <f>+Ingreso!D24</f>
        <v>N</v>
      </c>
      <c r="M13" s="440" t="s">
        <v>100</v>
      </c>
      <c r="N13" s="440" t="s">
        <v>101</v>
      </c>
      <c r="O13" s="440" t="s">
        <v>102</v>
      </c>
      <c r="P13" s="440" t="s">
        <v>126</v>
      </c>
      <c r="U13" s="208">
        <f>U12-$U$2</f>
        <v>200</v>
      </c>
      <c r="V13" s="208">
        <f>V12-$U$2</f>
        <v>0</v>
      </c>
      <c r="W13" s="208">
        <f>W12-$U$2</f>
        <v>0</v>
      </c>
      <c r="X13" s="208">
        <f>X12-$U$2</f>
        <v>0</v>
      </c>
      <c r="Y13" s="208">
        <f>Y12-$U$2</f>
        <v>0</v>
      </c>
    </row>
    <row r="14" spans="1:30">
      <c r="A14" t="s">
        <v>214</v>
      </c>
      <c r="B14" s="95">
        <f>+IF(B4&lt;50,1,ROUNDUP(B4/100,0))</f>
        <v>2</v>
      </c>
      <c r="D14" t="s">
        <v>237</v>
      </c>
      <c r="E14" s="221">
        <f>+Ingreso!D25</f>
        <v>0</v>
      </c>
      <c r="M14" s="87">
        <v>1.1100000000000001</v>
      </c>
      <c r="N14" s="87" t="s">
        <v>386</v>
      </c>
      <c r="O14" s="87">
        <v>1.25</v>
      </c>
      <c r="P14" s="87"/>
    </row>
    <row r="15" spans="1:30">
      <c r="A15" t="s">
        <v>391</v>
      </c>
      <c r="B15" s="95">
        <f>ROUNDUP(((B4/2.5)),0)</f>
        <v>52</v>
      </c>
      <c r="M15" s="87">
        <v>2.08</v>
      </c>
      <c r="N15" s="87">
        <v>2.08</v>
      </c>
      <c r="O15" s="87"/>
      <c r="P15" s="439">
        <v>2.1</v>
      </c>
      <c r="U15" s="204"/>
      <c r="V15" s="204"/>
      <c r="W15" s="204">
        <f>MIN(U13:Y13)</f>
        <v>0</v>
      </c>
      <c r="X15" s="209" t="s">
        <v>230</v>
      </c>
      <c r="Y15" s="209" t="s">
        <v>230</v>
      </c>
      <c r="Z15" s="209" t="s">
        <v>230</v>
      </c>
      <c r="AA15" s="209" t="s">
        <v>230</v>
      </c>
      <c r="AB15" s="211" t="s">
        <v>170</v>
      </c>
      <c r="AC15" s="204"/>
      <c r="AD15" s="204"/>
    </row>
    <row r="16" spans="1:30">
      <c r="A16" s="93"/>
      <c r="M16" s="87"/>
      <c r="N16" s="87"/>
      <c r="O16" s="87"/>
      <c r="P16" s="439"/>
      <c r="U16" s="204"/>
      <c r="V16" s="204"/>
      <c r="W16" s="204"/>
      <c r="X16" s="209">
        <v>500</v>
      </c>
      <c r="Y16" s="209">
        <v>400</v>
      </c>
      <c r="Z16" s="209">
        <v>300</v>
      </c>
      <c r="AA16" s="209">
        <v>200</v>
      </c>
      <c r="AB16" s="212" t="s">
        <v>230</v>
      </c>
      <c r="AC16" s="204"/>
      <c r="AD16" s="204"/>
    </row>
    <row r="17" spans="1:30">
      <c r="A17" s="93"/>
      <c r="B17" s="474"/>
      <c r="M17" s="87">
        <v>2.4</v>
      </c>
      <c r="N17" s="87" t="s">
        <v>386</v>
      </c>
      <c r="O17" s="87"/>
      <c r="P17" s="439">
        <v>2.4</v>
      </c>
      <c r="U17" s="208">
        <f>AD17</f>
        <v>0</v>
      </c>
      <c r="V17" s="208">
        <v>1</v>
      </c>
      <c r="W17" s="209">
        <f>U13</f>
        <v>200</v>
      </c>
      <c r="X17" s="210">
        <f>V7</f>
        <v>0</v>
      </c>
      <c r="Y17" s="210">
        <f>W7</f>
        <v>0</v>
      </c>
      <c r="Z17" s="210">
        <f>X7</f>
        <v>0</v>
      </c>
      <c r="AA17" s="210">
        <f>Y7</f>
        <v>1</v>
      </c>
      <c r="AB17" s="210">
        <f>SUM(X17:AA17)</f>
        <v>1</v>
      </c>
      <c r="AC17" s="210">
        <f>IF(W17=$W$15,AB17,1000000)</f>
        <v>1000000</v>
      </c>
      <c r="AD17" s="208">
        <f>IF(AC17=(MIN($AC$17:$AC$21)),1,0)</f>
        <v>0</v>
      </c>
    </row>
    <row r="18" spans="1:30">
      <c r="A18" s="93"/>
      <c r="B18" s="474"/>
      <c r="M18" s="87">
        <v>3.05</v>
      </c>
      <c r="N18" s="87" t="s">
        <v>386</v>
      </c>
      <c r="O18" s="87"/>
      <c r="P18" s="439">
        <v>3</v>
      </c>
      <c r="U18" s="208">
        <f>AD18</f>
        <v>1</v>
      </c>
      <c r="V18" s="208">
        <v>2</v>
      </c>
      <c r="W18" s="209">
        <f>V13</f>
        <v>0</v>
      </c>
      <c r="X18" s="210">
        <f>V11</f>
        <v>0</v>
      </c>
      <c r="Y18" s="210">
        <v>0</v>
      </c>
      <c r="Z18" s="210">
        <v>0</v>
      </c>
      <c r="AA18" s="210">
        <v>0</v>
      </c>
      <c r="AB18" s="210">
        <f>SUM(X18:AA18)</f>
        <v>0</v>
      </c>
      <c r="AC18" s="210">
        <f>IF(W18=$W$15,AB18,1000000)</f>
        <v>0</v>
      </c>
      <c r="AD18" s="208">
        <f>IF(AC18=(MIN($AC$17:$AC$21)),1,0)</f>
        <v>1</v>
      </c>
    </row>
    <row r="19" spans="1:30">
      <c r="A19" s="93"/>
      <c r="B19" s="97"/>
      <c r="M19" s="87">
        <v>4.0199999999999996</v>
      </c>
      <c r="N19" s="87" t="s">
        <v>386</v>
      </c>
      <c r="O19" s="87"/>
      <c r="P19" s="87"/>
      <c r="U19" s="208">
        <f>AD19</f>
        <v>1</v>
      </c>
      <c r="V19" s="208">
        <v>3</v>
      </c>
      <c r="W19" s="209">
        <f>W13</f>
        <v>0</v>
      </c>
      <c r="X19" s="210">
        <v>0</v>
      </c>
      <c r="Y19" s="210">
        <f>W11</f>
        <v>0</v>
      </c>
      <c r="Z19" s="210">
        <v>0</v>
      </c>
      <c r="AA19" s="210">
        <v>0</v>
      </c>
      <c r="AB19" s="210">
        <f>SUM(X19:AA19)</f>
        <v>0</v>
      </c>
      <c r="AC19" s="210">
        <f>IF(W19=$W$15,AB19,1000000)</f>
        <v>0</v>
      </c>
      <c r="AD19" s="208">
        <f>IF(AC19=(MIN($AC$17:$AC$21)),1,0)</f>
        <v>1</v>
      </c>
    </row>
    <row r="20" spans="1:30">
      <c r="A20" s="93"/>
      <c r="B20" s="97"/>
      <c r="M20" s="87"/>
      <c r="N20" s="87"/>
      <c r="O20" s="87"/>
      <c r="P20" s="87"/>
      <c r="U20" s="208">
        <f>AD20</f>
        <v>1</v>
      </c>
      <c r="V20" s="208">
        <v>4</v>
      </c>
      <c r="W20" s="209">
        <f>X13</f>
        <v>0</v>
      </c>
      <c r="X20" s="210">
        <v>0</v>
      </c>
      <c r="Y20" s="210">
        <v>0</v>
      </c>
      <c r="Z20" s="210">
        <f>X11</f>
        <v>0</v>
      </c>
      <c r="AA20" s="210">
        <v>0</v>
      </c>
      <c r="AB20" s="210">
        <f>SUM(X20:AA20)</f>
        <v>0</v>
      </c>
      <c r="AC20" s="210">
        <f>IF(W20=$W$15,AB20,1000000)</f>
        <v>0</v>
      </c>
      <c r="AD20" s="208">
        <f>IF(AC20=(MIN($AC$17:$AC$21)),1,0)</f>
        <v>1</v>
      </c>
    </row>
    <row r="21" spans="1:30">
      <c r="A21" s="93"/>
      <c r="B21" s="97"/>
      <c r="U21" s="208">
        <f>AD21</f>
        <v>1</v>
      </c>
      <c r="V21" s="208">
        <v>5</v>
      </c>
      <c r="W21" s="209">
        <f>Y13</f>
        <v>0</v>
      </c>
      <c r="X21" s="210">
        <v>0</v>
      </c>
      <c r="Y21" s="210">
        <v>0</v>
      </c>
      <c r="Z21" s="210">
        <v>0</v>
      </c>
      <c r="AA21" s="210">
        <f>Y11</f>
        <v>0</v>
      </c>
      <c r="AB21" s="210">
        <f>SUM(X21:AA21)</f>
        <v>0</v>
      </c>
      <c r="AC21" s="210">
        <f>IF(W21=$W$15,AB21,1000000)</f>
        <v>0</v>
      </c>
      <c r="AD21" s="208">
        <f>IF(AC21=(MIN($AC$17:$AC$21)),1,0)</f>
        <v>1</v>
      </c>
    </row>
    <row r="22" spans="1:30">
      <c r="A22" s="93"/>
      <c r="B22" s="97"/>
    </row>
    <row r="23" spans="1:30">
      <c r="A23" s="93"/>
      <c r="B23" s="97"/>
      <c r="U23" s="213" t="s">
        <v>232</v>
      </c>
      <c r="V23" s="204"/>
      <c r="W23" s="204"/>
      <c r="X23" s="204"/>
      <c r="Y23" s="204"/>
    </row>
    <row r="24" spans="1:30">
      <c r="A24" s="93"/>
      <c r="B24" s="97"/>
      <c r="U24" s="213"/>
      <c r="V24" s="204">
        <f>V27</f>
        <v>0</v>
      </c>
      <c r="W24" s="204">
        <f>W27</f>
        <v>0</v>
      </c>
      <c r="X24" s="204">
        <f>X27</f>
        <v>0</v>
      </c>
      <c r="Y24" s="204">
        <f>Y27</f>
        <v>0</v>
      </c>
    </row>
    <row r="25" spans="1:30">
      <c r="A25" s="93"/>
      <c r="B25" s="97"/>
      <c r="U25" s="204"/>
      <c r="V25" s="209" t="s">
        <v>230</v>
      </c>
      <c r="W25" s="209" t="s">
        <v>230</v>
      </c>
      <c r="X25" s="209" t="s">
        <v>230</v>
      </c>
      <c r="Y25" s="209" t="s">
        <v>230</v>
      </c>
    </row>
    <row r="26" spans="1:30">
      <c r="A26" s="93"/>
      <c r="B26" s="97"/>
      <c r="U26" s="204"/>
      <c r="V26" s="211">
        <v>500</v>
      </c>
      <c r="W26" s="211">
        <v>400</v>
      </c>
      <c r="X26" s="211">
        <v>300</v>
      </c>
      <c r="Y26" s="211">
        <v>200</v>
      </c>
    </row>
    <row r="27" spans="1:30">
      <c r="A27" s="93"/>
      <c r="B27" s="97"/>
      <c r="U27" s="208">
        <v>1</v>
      </c>
      <c r="V27" s="205">
        <f>VLOOKUP($U$27,$U$17:$AC$21,4,FALSE)</f>
        <v>0</v>
      </c>
      <c r="W27" s="205">
        <f>VLOOKUP($U$27,$U$17:$AC$21,5,FALSE)</f>
        <v>0</v>
      </c>
      <c r="X27" s="205">
        <f>VLOOKUP($U$27,$U$17:$AC$21,6,FALSE)</f>
        <v>0</v>
      </c>
      <c r="Y27" s="205">
        <f>VLOOKUP($U$27,$U$17:$AC$21,7,FALSE)</f>
        <v>0</v>
      </c>
    </row>
    <row r="28" spans="1:30">
      <c r="A28" s="93"/>
      <c r="U28" s="204"/>
      <c r="V28" s="214">
        <f>IF(V27=0,0,188057)</f>
        <v>0</v>
      </c>
      <c r="W28" s="214">
        <f>IF(W27=0,0,188055)</f>
        <v>0</v>
      </c>
      <c r="X28" s="214">
        <f>IF(X27=0,0,188051)</f>
        <v>0</v>
      </c>
      <c r="Y28" s="214">
        <f>IF(Y27=0,0,188053)</f>
        <v>0</v>
      </c>
    </row>
    <row r="29" spans="1:30">
      <c r="A29" s="93"/>
      <c r="U29" s="204"/>
      <c r="V29" s="204"/>
      <c r="W29" s="204"/>
      <c r="X29" s="204"/>
      <c r="Y29" s="204"/>
    </row>
    <row r="30" spans="1:30">
      <c r="A30" s="93"/>
      <c r="U30" s="215" t="s">
        <v>233</v>
      </c>
      <c r="V30" s="216">
        <f>MAX(V28:Y28)</f>
        <v>0</v>
      </c>
      <c r="W30" s="204"/>
      <c r="X30" s="204"/>
      <c r="Y30" s="204"/>
    </row>
    <row r="31" spans="1:30">
      <c r="A31" s="93"/>
      <c r="U31" s="215" t="s">
        <v>234</v>
      </c>
      <c r="V31" s="216">
        <f>MAX(V27:Y27)</f>
        <v>0</v>
      </c>
      <c r="X31" s="204"/>
      <c r="Y31" s="204"/>
    </row>
    <row r="32" spans="1:30">
      <c r="A32" s="93"/>
      <c r="U32" s="217" t="s">
        <v>235</v>
      </c>
      <c r="V32" s="216">
        <f>HLOOKUP(V31,V24:Y28,3,FALSE)</f>
        <v>500</v>
      </c>
    </row>
    <row r="33" spans="1:90">
      <c r="A33" s="92"/>
      <c r="B33" s="97"/>
      <c r="D33" s="97"/>
      <c r="E33" s="97"/>
    </row>
    <row r="34" spans="1:90">
      <c r="A34" s="93"/>
      <c r="B34" s="93"/>
      <c r="C34" s="93"/>
      <c r="D34" s="93"/>
    </row>
    <row r="35" spans="1:90">
      <c r="A35" s="578" t="s">
        <v>197</v>
      </c>
      <c r="B35" s="578"/>
      <c r="C35" s="578"/>
      <c r="D35" s="578"/>
      <c r="E35" s="578"/>
      <c r="F35" s="578"/>
      <c r="G35" s="578"/>
      <c r="H35" s="578"/>
      <c r="J35" s="579" t="s">
        <v>196</v>
      </c>
      <c r="K35" s="579"/>
      <c r="L35" s="579"/>
      <c r="M35" s="579"/>
      <c r="N35" s="579"/>
      <c r="O35" s="579"/>
      <c r="P35" s="579"/>
      <c r="Q35" s="579"/>
      <c r="S35" s="580" t="s">
        <v>180</v>
      </c>
      <c r="T35" s="580"/>
      <c r="U35" s="580"/>
      <c r="V35" s="580"/>
      <c r="W35" s="580"/>
      <c r="X35" s="580"/>
      <c r="Y35" s="580"/>
      <c r="AA35" s="580" t="s">
        <v>199</v>
      </c>
      <c r="AB35" s="580"/>
      <c r="AC35" s="580"/>
      <c r="AD35" s="580"/>
      <c r="AE35" s="580"/>
      <c r="AG35" s="575" t="s">
        <v>207</v>
      </c>
      <c r="AH35" s="575"/>
      <c r="AI35" s="575"/>
      <c r="AJ35" s="575"/>
      <c r="AK35" s="575"/>
      <c r="AM35" s="575" t="s">
        <v>205</v>
      </c>
      <c r="AN35" s="575"/>
      <c r="AO35" s="575"/>
      <c r="AP35" s="575"/>
      <c r="AR35" s="575" t="s">
        <v>206</v>
      </c>
      <c r="AS35" s="575"/>
      <c r="AT35" s="575"/>
      <c r="AU35" s="575"/>
      <c r="AW35" s="576"/>
      <c r="AX35" s="576"/>
      <c r="AY35" s="576"/>
      <c r="AZ35" s="576"/>
      <c r="BB35" s="575" t="s">
        <v>208</v>
      </c>
      <c r="BC35" s="575"/>
      <c r="BD35" s="575"/>
      <c r="BE35" s="575"/>
      <c r="BG35" s="569" t="s">
        <v>57</v>
      </c>
      <c r="BH35" s="569"/>
      <c r="BI35" s="569"/>
      <c r="BJ35" s="569"/>
      <c r="BL35" s="577" t="s">
        <v>210</v>
      </c>
      <c r="BM35" s="577"/>
      <c r="BN35" s="577"/>
      <c r="BO35" s="577"/>
      <c r="BQ35" s="568" t="str">
        <f>+BR38</f>
        <v>Spray verde</v>
      </c>
      <c r="BR35" s="569"/>
      <c r="BS35" s="569"/>
      <c r="BT35" s="569"/>
      <c r="BV35" s="568" t="str">
        <f>+BW38</f>
        <v>Spray Galvanizado</v>
      </c>
      <c r="BW35" s="569"/>
      <c r="BX35" s="569"/>
      <c r="BY35" s="569"/>
      <c r="CA35" s="568" t="str">
        <f>+CB38</f>
        <v>Perno de anclaje 1/2x4''</v>
      </c>
      <c r="CB35" s="569"/>
      <c r="CC35" s="569"/>
      <c r="CD35" s="569"/>
      <c r="CF35" s="574" t="str">
        <f>+CG38</f>
        <v>Varilla 7.5 mm x 12 m</v>
      </c>
      <c r="CG35" s="574"/>
      <c r="CH35" s="574"/>
      <c r="CJ35" s="574" t="str">
        <f>+CK38</f>
        <v>Motto</v>
      </c>
      <c r="CK35" s="574"/>
      <c r="CL35" s="574"/>
    </row>
    <row r="36" spans="1:90">
      <c r="A36" s="152">
        <f>+IF(C36=M3,A39,IF(C36=M4,A40,IF(C36=M6,A42,IF(C36=M7,A43,IF(C36=M8,A44)))))</f>
        <v>189483</v>
      </c>
      <c r="B36" s="152" t="str">
        <f>+IF(C36=M3,B39,IF(C36=M4,B40,IF(C36=M6,B42,IF(C36=M7,B43,IF(C36=M8,B44)))))</f>
        <v>CercasPro 2,08x2.50m  Verde</v>
      </c>
      <c r="C36" s="152">
        <f>+E11</f>
        <v>2.08</v>
      </c>
      <c r="D36" s="152">
        <f>+IF(C36=M3,D39,IF(C36=M4,D40,IF(C36=M6,D42,IF(C36=M7,D43,IF(C36=M8,D44)))))</f>
        <v>2.08</v>
      </c>
      <c r="E36" s="152">
        <f>+IF(C36=M3,E39,IF(C36=M4,E40,IF(C36=M6,E42,IF(C36=M7,E43,IF(C36=M8,E44)))))</f>
        <v>0</v>
      </c>
      <c r="F36" s="152">
        <f>+IF(C36=M3,F39,IF(C36=M4,F40,IF(C36=M6,F42,IF(C36=M7,F43,IF(C36=M8,F44)))))</f>
        <v>21.95</v>
      </c>
      <c r="G36" s="155">
        <f>+IF(C36=M3,G39,IF(C36=M4,G40,IF(C36=M6,G42,IF(C36=M7,G43,IF(C36=M8,G44)))))</f>
        <v>119.79</v>
      </c>
      <c r="H36" s="155">
        <f>+IF(C36=M3,H39,IF(C36=M4,H40,IF(C36=M6,H42,IF(C36=M7,H43,IF(C36=M8,H44)))))</f>
        <v>101.7</v>
      </c>
      <c r="J36" s="293">
        <f>+IF($A$36=A39,J39,IF(A36=A40,J40,IF(A36=A42,J42,IF(A36=A43,J43,IF(A36=A44,J44)))))</f>
        <v>270876</v>
      </c>
      <c r="K36" s="290" t="str">
        <f>+VLOOKUP($J$36,$J$39:$Q$44,2,FALSE)</f>
        <v>PostePro 60x60x1.5x2.60m PLINTO/VER</v>
      </c>
      <c r="L36" s="290" t="str">
        <f>+VLOOKUP($J$36,$J$39:$Q$44,3,FALSE)</f>
        <v>60 X 60</v>
      </c>
      <c r="M36" s="290">
        <f>+VLOOKUP($J$36,$J$38:$Q$44,4,FALSE)</f>
        <v>0.55000000000000004</v>
      </c>
      <c r="N36" s="291">
        <f>+VLOOKUP($J$36,$J$38:$Q$44,5,FALSE)</f>
        <v>3.7</v>
      </c>
      <c r="O36" s="290">
        <f>+VLOOKUP($J$36,$J$38:$Q$44,6,FALSE)</f>
        <v>7.3</v>
      </c>
      <c r="P36" s="292">
        <f>+VLOOKUP($J$36,$J$38:$Q$44,7,FALSE)</f>
        <v>35.558649789029538</v>
      </c>
      <c r="Q36" s="292">
        <f>+VLOOKUP($J$36,$J$38:$Q$44,8,FALSE)</f>
        <v>30.19</v>
      </c>
      <c r="S36" s="152">
        <f>+IF($A$36=A39,S39,IF(A36=A40,S40,IF(A36=A42,S42,IF(A36=A43,S43,IF(A36=A44,S44)))))</f>
        <v>270874</v>
      </c>
      <c r="T36" s="152" t="str">
        <f>+VLOOKUP($S$36,$S$38:$Y$44,2,FALSE)</f>
        <v>PostePro 60x60x1.5x2.13m PLACA/VER</v>
      </c>
      <c r="U36" s="152" t="str">
        <f>+VLOOKUP($S$36,$S$38:$Y$44,3,FALSE)</f>
        <v>60 x 60</v>
      </c>
      <c r="V36" s="152">
        <f>+VLOOKUP($S$36,$S$38:$Y$44,4,FALSE)</f>
        <v>2.13</v>
      </c>
      <c r="W36" s="152">
        <f>+VLOOKUP($S$36,$S$38:$Y$44,5,FALSE)</f>
        <v>7.29</v>
      </c>
      <c r="X36" s="155">
        <f>+VLOOKUP($S$36,$S$38:$Y$44,6,FALSE)</f>
        <v>35.895443037974687</v>
      </c>
      <c r="Y36" s="155">
        <f>+VLOOKUP($S$36,$S$38:$Y$44,7,FALSE)</f>
        <v>30.47</v>
      </c>
      <c r="AA36" s="159">
        <f>+AA39</f>
        <v>272173</v>
      </c>
      <c r="AB36" s="87" t="str">
        <f>+AB39</f>
        <v>Fijación p/perno 1/4" Verde</v>
      </c>
      <c r="AC36" s="95">
        <f>+IF(A36=A39,AC39,IF(A36=A40,AC40,IF(A36=A42,AC42,IF(A36=A43,AC43,IF(A36=A44,AC44)))))</f>
        <v>5</v>
      </c>
      <c r="AD36" s="164">
        <f>+AD39</f>
        <v>1.1330801687763714</v>
      </c>
      <c r="AE36" s="164">
        <f>+AE39</f>
        <v>0.96</v>
      </c>
      <c r="AG36" s="95">
        <f>+IF($A$36=A39,AG39,IF(A36=A40,AG40,IF(A36=A42,AG42,IF(A36=A43,AG43,IF(A36=A44,AG44)))))</f>
        <v>270501</v>
      </c>
      <c r="AH36" s="95" t="str">
        <f>+VLOOKUP($AG$36,$AG$38:$AK$44,2,FALSE)</f>
        <v>Perno coche 1/4"X2 1/2" INOX 316 CHN</v>
      </c>
      <c r="AI36" s="95"/>
      <c r="AJ36" s="154">
        <f>+VLOOKUP($AG$36,$AG$38:$AK$44,4,FALSE)</f>
        <v>0.87915611814345995</v>
      </c>
      <c r="AK36" s="154">
        <f>+VLOOKUP($AG$36,$AG$38:$AK$44,5,FALSE)</f>
        <v>0.75</v>
      </c>
      <c r="AM36" s="95">
        <f>+IF($A$36=A39,AM39,IF(A36=A40,AM39,IF(A36=A42,AM39,IF(A36=A43,AM39,IF(A36=A44,AM39)))))</f>
        <v>270504</v>
      </c>
      <c r="AN36" s="149" t="str">
        <f>+AN39</f>
        <v>Tuerca Seg.Emb.Autor.INOX 1/4 X19mm</v>
      </c>
      <c r="AO36" s="154">
        <f>+AO39</f>
        <v>2.5</v>
      </c>
      <c r="AP36" s="154">
        <f>+AP39</f>
        <v>2.12</v>
      </c>
      <c r="AR36" s="95">
        <f>+IF($A$36=A39,AR39,IF(A36=A40,AR39,IF(A36=A42,AR39,IF(A36=A43,AR39,IF(A36=A44,AR39)))))</f>
        <v>189489</v>
      </c>
      <c r="AS36" s="149" t="str">
        <f>+AS39</f>
        <v>Perno de anclaje 1/2x4''</v>
      </c>
      <c r="AT36" s="154">
        <f>+AT39</f>
        <v>2.62</v>
      </c>
      <c r="AU36" s="154">
        <f>+AU39</f>
        <v>2.2200000000000002</v>
      </c>
      <c r="BB36" s="95">
        <f>+IF($A$36=A39,BB39,IF(A36=A40,BB40,IF(A36=A42,BB42,IF(A36=A43,BB43,IF(A36=A44,BB44)))))</f>
        <v>189488</v>
      </c>
      <c r="BC36" s="95" t="str">
        <f>+VLOOKUP(BB36,BB38:BE44,2,0)</f>
        <v>ProTapa plástica 60x60mm</v>
      </c>
      <c r="BD36" s="154">
        <f>+VLOOKUP(BB36,BB38:BE44,3,0)</f>
        <v>1.54</v>
      </c>
      <c r="BE36" s="154">
        <f>+VLOOKUP(BB36,BB38:BE44,4,0)</f>
        <v>1.31</v>
      </c>
      <c r="BG36" s="87">
        <f>+IF($A$36=A39,BG39,IF(A36=A40,BG39,IF(A36=A42,BG39,IF(A36=A43,BG39,IF(A36=A44,BG39)))))</f>
        <v>189162</v>
      </c>
      <c r="BH36" s="159" t="str">
        <f>+BH39</f>
        <v>Fijación Jumbo</v>
      </c>
      <c r="BI36" s="164">
        <f>+BI39</f>
        <v>0.6</v>
      </c>
      <c r="BJ36" s="164">
        <f>+BJ39</f>
        <v>0.51</v>
      </c>
      <c r="BL36" s="159">
        <f>+IF($A$36=A39,BL39,IF(A36=A40,BL40,IF(A36=A42,BL42,IF(A36=A43,BL43,IF(A36=A44,BL44)))))</f>
        <v>189186</v>
      </c>
      <c r="BM36" s="87" t="str">
        <f>+VLOOKUP($BL$36,$BL$38:$BO$44,2)</f>
        <v>Brazo 45° 60x60 VER</v>
      </c>
      <c r="BN36" s="87">
        <f>+VLOOKUP($BL$36,$BL$38:$BO$44,3)</f>
        <v>30.25</v>
      </c>
      <c r="BO36" s="87">
        <f>+VLOOKUP($BL$36,$BL$38:$BO$44,4)</f>
        <v>25.68</v>
      </c>
      <c r="BQ36" s="159">
        <f>+BQ39</f>
        <v>189205</v>
      </c>
      <c r="BR36" s="159" t="str">
        <f>+BR39</f>
        <v>SPRAY VERDE 077 SEYER</v>
      </c>
      <c r="BS36" s="164">
        <f>+BS39</f>
        <v>4.2724850099933374</v>
      </c>
      <c r="BT36" s="164">
        <f>+BT39</f>
        <v>3.63</v>
      </c>
      <c r="BV36" s="159">
        <f>+BV39</f>
        <v>683471</v>
      </c>
      <c r="BW36" s="159" t="str">
        <f>+BW39</f>
        <v>SPRAY GALV FRIO</v>
      </c>
      <c r="BX36" s="164">
        <f>+BX39</f>
        <v>37.517039922103216</v>
      </c>
      <c r="BY36" s="164">
        <f>+BY39</f>
        <v>31.85</v>
      </c>
      <c r="CA36" s="87">
        <f>+IF($A$36=U39,CA39,IF(U36=U40,BL39,IF(U36=U42,BL39,IF(U36=U43,BL39,IF(U36=U44,BL39)))))</f>
        <v>189186</v>
      </c>
      <c r="CB36" s="159" t="str">
        <f>+CB39</f>
        <v>Perno de anclaje 1/2x4''</v>
      </c>
      <c r="CC36" s="164">
        <f>+CC39</f>
        <v>2.62</v>
      </c>
      <c r="CD36" s="164">
        <f>+CD39</f>
        <v>2.2200000000000002</v>
      </c>
      <c r="CF36" s="87">
        <f>+IF($A$36=Z39,CF39,IF(Z36=Z40,BQ39,IF(Z36=Z42,BQ39,IF(Z36=Z43,BQ39,IF(Z36=Z44,BQ39)))))</f>
        <v>189205</v>
      </c>
      <c r="CG36" s="159" t="str">
        <f>+CG39</f>
        <v>Varilla 7.5 mm x 12 m</v>
      </c>
      <c r="CH36" s="164">
        <f>ROUND(CH39*(1-Ingreso!H29),2)</f>
        <v>7.02</v>
      </c>
      <c r="CJ36" s="87" t="e">
        <f>+VLOOKUP(V30,CJ39:CL43,1,FALSE)</f>
        <v>#N/A</v>
      </c>
      <c r="CK36" s="159" t="e">
        <f>+VLOOKUP($CJ$36,CJ38:CL43,2,FALSE)</f>
        <v>#N/A</v>
      </c>
      <c r="CL36" s="164" t="e">
        <f>ROUND(VLOOKUP($CJ$36,$CJ$38:$CL$43,3,FALSE)*(1-Ingreso!H28),2)</f>
        <v>#N/A</v>
      </c>
    </row>
    <row r="38" spans="1:90">
      <c r="A38" s="150" t="s">
        <v>1</v>
      </c>
      <c r="B38" s="150" t="s">
        <v>185</v>
      </c>
      <c r="C38" s="150" t="s">
        <v>183</v>
      </c>
      <c r="D38" s="150" t="s">
        <v>186</v>
      </c>
      <c r="E38" s="150" t="s">
        <v>187</v>
      </c>
      <c r="F38" s="150" t="s">
        <v>182</v>
      </c>
      <c r="G38" s="192" t="s">
        <v>218</v>
      </c>
      <c r="H38" s="150" t="s">
        <v>188</v>
      </c>
      <c r="J38" s="150" t="s">
        <v>1</v>
      </c>
      <c r="K38" s="150" t="s">
        <v>185</v>
      </c>
      <c r="L38" s="153" t="s">
        <v>191</v>
      </c>
      <c r="M38" s="153" t="s">
        <v>198</v>
      </c>
      <c r="N38" s="153" t="s">
        <v>192</v>
      </c>
      <c r="O38" s="153" t="s">
        <v>182</v>
      </c>
      <c r="P38" s="153" t="s">
        <v>184</v>
      </c>
      <c r="Q38" s="150" t="s">
        <v>188</v>
      </c>
      <c r="S38" s="150" t="s">
        <v>1</v>
      </c>
      <c r="T38" s="150" t="s">
        <v>185</v>
      </c>
      <c r="U38" s="150" t="s">
        <v>191</v>
      </c>
      <c r="V38" s="150" t="s">
        <v>192</v>
      </c>
      <c r="W38" s="150" t="s">
        <v>182</v>
      </c>
      <c r="X38" s="150" t="s">
        <v>184</v>
      </c>
      <c r="Y38" s="150" t="s">
        <v>188</v>
      </c>
      <c r="AA38" s="150" t="s">
        <v>1</v>
      </c>
      <c r="AB38" s="150" t="s">
        <v>185</v>
      </c>
      <c r="AC38" s="150" t="s">
        <v>200</v>
      </c>
      <c r="AD38" s="150" t="s">
        <v>184</v>
      </c>
      <c r="AE38" s="150" t="s">
        <v>188</v>
      </c>
      <c r="AG38" s="166" t="s">
        <v>1</v>
      </c>
      <c r="AH38" s="165" t="s">
        <v>201</v>
      </c>
      <c r="AI38" s="165" t="s">
        <v>209</v>
      </c>
      <c r="AJ38" s="166" t="s">
        <v>184</v>
      </c>
      <c r="AK38" s="166" t="s">
        <v>188</v>
      </c>
      <c r="AM38" s="167" t="s">
        <v>1</v>
      </c>
      <c r="AN38" s="167" t="s">
        <v>202</v>
      </c>
      <c r="AO38" s="167" t="s">
        <v>184</v>
      </c>
      <c r="AP38" s="167" t="s">
        <v>188</v>
      </c>
      <c r="AR38" s="169" t="s">
        <v>1</v>
      </c>
      <c r="AS38" s="170" t="s">
        <v>203</v>
      </c>
      <c r="AT38" s="169" t="s">
        <v>184</v>
      </c>
      <c r="AU38" s="169" t="s">
        <v>188</v>
      </c>
      <c r="AW38" s="92"/>
      <c r="AX38" s="430"/>
      <c r="AY38" s="92"/>
      <c r="AZ38" s="92"/>
      <c r="BB38" s="166" t="s">
        <v>1</v>
      </c>
      <c r="BC38" s="171" t="s">
        <v>204</v>
      </c>
      <c r="BD38" s="166" t="s">
        <v>184</v>
      </c>
      <c r="BE38" s="166" t="s">
        <v>188</v>
      </c>
      <c r="BG38" s="166" t="s">
        <v>1</v>
      </c>
      <c r="BH38" s="171" t="s">
        <v>57</v>
      </c>
      <c r="BI38" s="166" t="s">
        <v>184</v>
      </c>
      <c r="BJ38" s="166" t="s">
        <v>188</v>
      </c>
      <c r="BL38" s="168" t="s">
        <v>1</v>
      </c>
      <c r="BM38" s="172" t="s">
        <v>210</v>
      </c>
      <c r="BN38" s="168" t="s">
        <v>184</v>
      </c>
      <c r="BO38" s="168" t="s">
        <v>188</v>
      </c>
      <c r="BQ38" s="166" t="s">
        <v>1</v>
      </c>
      <c r="BR38" s="171" t="s">
        <v>213</v>
      </c>
      <c r="BS38" s="166" t="s">
        <v>184</v>
      </c>
      <c r="BT38" s="166" t="s">
        <v>188</v>
      </c>
      <c r="BV38" s="166" t="s">
        <v>1</v>
      </c>
      <c r="BW38" s="171" t="s">
        <v>214</v>
      </c>
      <c r="BX38" s="166" t="s">
        <v>184</v>
      </c>
      <c r="BY38" s="166" t="s">
        <v>188</v>
      </c>
      <c r="CA38" s="166" t="s">
        <v>1</v>
      </c>
      <c r="CB38" s="171" t="s">
        <v>61</v>
      </c>
      <c r="CC38" s="166" t="s">
        <v>184</v>
      </c>
      <c r="CD38" s="166" t="s">
        <v>188</v>
      </c>
      <c r="CF38" s="175" t="s">
        <v>1</v>
      </c>
      <c r="CG38" s="43" t="s">
        <v>221</v>
      </c>
      <c r="CH38" s="175" t="s">
        <v>184</v>
      </c>
      <c r="CJ38" s="167" t="s">
        <v>1</v>
      </c>
      <c r="CK38" s="202" t="s">
        <v>228</v>
      </c>
      <c r="CL38" s="167" t="s">
        <v>184</v>
      </c>
    </row>
    <row r="39" spans="1:90">
      <c r="A39" s="149">
        <f>+CP_2026!B27</f>
        <v>189168</v>
      </c>
      <c r="B39" s="149" t="str">
        <f>+CP_2026!C27</f>
        <v>CercasPro 1.11x2.50m  Verde</v>
      </c>
      <c r="C39" s="151">
        <f>+M3</f>
        <v>1.1100000000000001</v>
      </c>
      <c r="D39" s="95">
        <v>1.1100000000000001</v>
      </c>
      <c r="E39" s="95"/>
      <c r="F39" s="151">
        <f>+CP_2026!D27</f>
        <v>11.88</v>
      </c>
      <c r="G39" s="154">
        <f>+CP_2026!L27</f>
        <v>67.88</v>
      </c>
      <c r="H39" s="154">
        <f t="shared" ref="H39:H44" si="0">+IF($E$10=$I$3,ROUND(G39*(1-$J$3),2),IF($E$10=$I$4,ROUND(G39*(1-$J$4),2),IF($E$10=$I$5,ROUND(G39*(1-$J$5),2),IF($E$10=$I$6,ROUND(G39*(1-$J$6),2),IF($E$10=$I$7,ROUND(G39*(1-$J$7),2),IF($E$10=$I$8,ROUND(G39*(1-$J$8),2),G39))))))</f>
        <v>57.63</v>
      </c>
      <c r="J39" s="149">
        <v>270873</v>
      </c>
      <c r="K39" s="149" t="s">
        <v>46</v>
      </c>
      <c r="L39" s="149" t="s">
        <v>390</v>
      </c>
      <c r="M39" s="151">
        <v>0.55000000000000004</v>
      </c>
      <c r="N39" s="151">
        <v>3</v>
      </c>
      <c r="O39" s="151">
        <f>+VLOOKUP(J39,CP_2026!$B$28:$L$55,3,FALSE)</f>
        <v>4.43</v>
      </c>
      <c r="P39" s="154">
        <f>+VLOOKUP(J39,CP_2026!$B$28:$L$55,11,FALSE)</f>
        <v>24.032658227848099</v>
      </c>
      <c r="Q39" s="156">
        <f>+IF($E$10=$I$3,ROUND(P39*(1-$J$3),2),IF($E$10=$I$4,ROUND(P39*(1-$J$4),2),IF($E$10=$I$5,ROUND(P39*(1-$J$5),2),IF($E$10=$I$6,ROUND(P39*(1-$J$6),2),IF($E$10=$I$7,ROUND(P39*(1-$J$7),2),IF($E$10=$I$8,ROUND(P39*(1-$J$8),2),P39))))))</f>
        <v>20.399999999999999</v>
      </c>
      <c r="S39" s="149">
        <v>270872</v>
      </c>
      <c r="T39" s="149" t="s">
        <v>45</v>
      </c>
      <c r="U39" s="149" t="s">
        <v>193</v>
      </c>
      <c r="V39" s="95">
        <v>1.1599999999999999</v>
      </c>
      <c r="W39" s="95">
        <v>4.62</v>
      </c>
      <c r="X39" s="160">
        <f>+VLOOKUP(S39,CP_2026!$B$27:$L$55,11,FALSE)</f>
        <v>27.169451476793245</v>
      </c>
      <c r="Y39" s="160">
        <f>+IF($E$10=$I$3,ROUND(X39*(1-$J$3),2),IF($E$10=$I$4,ROUND(X39*(1-$J$4),2),IF($E$10=$I$5,ROUND(X39*(1-$J$5),2),IF($E$10=$I$6,ROUND(X39*(1-$J$6),2),IF($E$10=$I$7,ROUND(X39*(1-$J$7),2),IF($E$10=$I$8,ROUND(X39*(1-$J$8),2),X39))))))</f>
        <v>23.07</v>
      </c>
      <c r="AA39" s="581">
        <f>+CP_2026!B41</f>
        <v>272173</v>
      </c>
      <c r="AB39" s="565" t="str">
        <f>+CP_2026!C41</f>
        <v>Fijación p/perno 1/4" Verde</v>
      </c>
      <c r="AC39" s="163">
        <v>3</v>
      </c>
      <c r="AD39" s="582">
        <f>+CP_2026!L41</f>
        <v>1.1330801687763714</v>
      </c>
      <c r="AE39" s="582">
        <f>+IF($E$10=$I$3,ROUND(AD39*(1-$J$3),2),IF($E$10=$I$4,ROUND(AD39*(1-$J$4),2),IF($E$10=$I$5,ROUND(AD39*(1-$J$5),2),IF($E$10=$I$6,ROUND(AD39*(1-$J$6),2),IF($E$10=$I$7,ROUND(AD39*(1-$J$7),2),IF($E$10=$I$8,ROUND(AD39*(1-$J$8),2),AD39))))))</f>
        <v>0.96</v>
      </c>
      <c r="AG39" s="149">
        <f>+CP_2026!B46</f>
        <v>270501</v>
      </c>
      <c r="AH39" s="149" t="str">
        <f>+CP_2026!C46</f>
        <v>Perno coche 1/4"X2 1/2" INOX 316 CHN</v>
      </c>
      <c r="AI39" s="151">
        <v>2.5</v>
      </c>
      <c r="AJ39" s="154">
        <f>+CP_2026!L46</f>
        <v>0.87915611814345995</v>
      </c>
      <c r="AK39" s="154">
        <f t="shared" ref="AK39:AK44" si="1">+IF($E$10=$I$3,ROUND(AJ39*(1-$J$3),2),IF($E$10=$I$4,ROUND(AJ39*(1-$J$4),2),IF($E$10=$I$5,ROUND(AJ39*(1-$J$5),2),IF($E$10=$I$6,ROUND(AJ39*(1-$J$6),2),IF($E$10=$I$7,ROUND(AJ39*(1-$J$7),2),IF($E$10=$I$8,ROUND(AJ39*(1-$J$8),2),AJ39))))))</f>
        <v>0.75</v>
      </c>
      <c r="AM39" s="149">
        <f>+CP_2026!B50</f>
        <v>270504</v>
      </c>
      <c r="AN39" s="149" t="str">
        <f>+CP_2026!C50</f>
        <v>Tuerca Seg.Emb.Autor.INOX 1/4 X19mm</v>
      </c>
      <c r="AO39" s="154">
        <f>+CP_2026!L50</f>
        <v>2.5</v>
      </c>
      <c r="AP39" s="154">
        <f>+IF($E$10=$I$3,ROUND(AO39*(1-$J$3),2),IF($E$10=$I$4,ROUND(AO39*(1-$J$4),2),IF($E$10=$I$5,ROUND(AO39*(1-$J$5),2),IF($E$10=$I$6,ROUND(AO39*(1-$J$6),2),IF($E$10=$I$7,ROUND(AO39*(1-$J$7),2),IF($E$10=$I$8,ROUND(AO39*(1-$J$8),2),AO39))))))</f>
        <v>2.12</v>
      </c>
      <c r="AR39" s="149">
        <f>+CP_2026!B51</f>
        <v>189489</v>
      </c>
      <c r="AS39" s="149" t="str">
        <f>+CP_2026!C51</f>
        <v>Perno de anclaje 1/2x4''</v>
      </c>
      <c r="AT39" s="154">
        <f>+CP_2026!L51</f>
        <v>2.62</v>
      </c>
      <c r="AU39" s="154">
        <f>+IF($E$10=$I$3,ROUND(AT39*(1-$J$3),2),IF($E$10=$I$4,ROUND(AT39*(1-$J$4),2),IF($E$10=$I$5,ROUND(AT39*(1-$J$5),2),IF($E$10=$I$6,ROUND(AT39*(1-$J$6),2),IF($E$10=$I$7,ROUND(AT39*(1-$J$7),2),IF($E$10=$I$8,ROUND(AT39*(1-$J$8),2),AT39))))))</f>
        <v>2.2200000000000002</v>
      </c>
      <c r="AW39" s="431"/>
      <c r="BB39" s="149">
        <v>189488</v>
      </c>
      <c r="BC39" s="149" t="s">
        <v>58</v>
      </c>
      <c r="BD39" s="154">
        <v>1.54</v>
      </c>
      <c r="BE39" s="154">
        <f t="shared" ref="BE39:BE44" si="2">+IF($E$10=$I$3,ROUND(BD39*(1-$J$3),2),IF($E$10=$I$4,ROUND(BD39*(1-$J$4),2),IF($E$10=$I$5,ROUND(BD39*(1-$J$5),2),IF($E$10=$I$6,ROUND(BD39*(1-$J$6),2),IF($E$10=$I$7,ROUND(BD39*(1-$J$7),2),IF($E$10=$I$8,ROUND(BD39*(1-$J$8),2),BD39))))))</f>
        <v>1.31</v>
      </c>
      <c r="BG39" s="149">
        <v>189162</v>
      </c>
      <c r="BH39" s="149" t="s">
        <v>57</v>
      </c>
      <c r="BI39" s="154">
        <v>0.6</v>
      </c>
      <c r="BJ39" s="154">
        <f>+IF($E$10=$I$3,ROUND(BI39*(1-$J$3),2),IF($E$10=$I$4,ROUND(BI39*(1-$J$4),2),IF($E$10=$I$5,ROUND(BI39*(1-$J$5),2),IF($E$10=$I$6,ROUND(BI39*(1-$J$6),2),IF($E$10=$I$7,ROUND(BI39*(1-$J$7),2),IF($E$10=$I$8,ROUND(BI39*(1-$J$8),2),BI39))))))</f>
        <v>0.51</v>
      </c>
      <c r="BL39" s="159">
        <v>189186</v>
      </c>
      <c r="BM39" s="159" t="s">
        <v>54</v>
      </c>
      <c r="BN39" s="156">
        <v>30.25</v>
      </c>
      <c r="BO39" s="156">
        <f t="shared" ref="BO39:BO44" si="3">+IF($E$10=$I$3,ROUND(BN39*(1-$J$3),2),IF($E$10=$I$4,ROUND(BN39*(1-$J$4),2),IF($E$10=$I$5,ROUND(BN39*(1-$J$5),2),IF($E$10=$I$6,ROUND(BN39*(1-$J$6),2),IF($E$10=$I$7,ROUND(BN39*(1-$J$7),2),IF($E$10=$I$8,ROUND(BN39*(1-$J$8),2),BN39))))))</f>
        <v>25.68</v>
      </c>
      <c r="BQ39" s="149">
        <f>+CP_2026!B52</f>
        <v>189205</v>
      </c>
      <c r="BR39" s="149" t="str">
        <f>+CP_2026!C52</f>
        <v>SPRAY VERDE 077 SEYER</v>
      </c>
      <c r="BS39" s="164">
        <f>+CP_2026!L52</f>
        <v>4.2724850099933374</v>
      </c>
      <c r="BT39" s="164">
        <f>+IF($E$10=$I$3,ROUND(BS39*(1-$J$3),2),IF($E$10=$I$4,ROUND(BS39*(1-$J$4),2),IF($E$10=$I$5,ROUND(BS39*(1-$J$5),2),IF($E$10=$I$6,ROUND(BS39*(1-$J$6),2),IF($E$10=$I$7,ROUND(BS39*(1-$J$7),2),IF($E$10=$I$8,ROUND(BS39*(1-$J$8),2),BS39))))))</f>
        <v>3.63</v>
      </c>
      <c r="BV39" s="149">
        <f>+CP_2026!B53</f>
        <v>683471</v>
      </c>
      <c r="BW39" s="149" t="str">
        <f>+CP_2026!C53</f>
        <v>SPRAY GALV FRIO</v>
      </c>
      <c r="BX39" s="164">
        <f>+CP_2026!L53</f>
        <v>37.517039922103216</v>
      </c>
      <c r="BY39" s="164">
        <f>+IF($E$10=$I$3,ROUND(BX39*(1-$J$3),2),IF($E$10=$I$4,ROUND(BX39*(1-$J$4),2),IF($E$10=$I$5,ROUND(BX39*(1-$J$5),2),IF($E$10=$I$6,ROUND(BX39*(1-$J$6),2),IF($E$10=$I$7,ROUND(BX39*(1-$J$7),2),IF($E$10=$I$8,ROUND(BX39*(1-$J$8),2),BX39))))))</f>
        <v>31.85</v>
      </c>
      <c r="CA39" s="149">
        <v>189489</v>
      </c>
      <c r="CB39" s="149" t="s">
        <v>61</v>
      </c>
      <c r="CC39" s="164">
        <v>2.62</v>
      </c>
      <c r="CD39" s="164">
        <f>+IF($E$10=$I$3,ROUND(CC39*(1-$J$3),2),IF($E$10=$I$4,ROUND(CC39*(1-$J$4),2),IF($E$10=$I$5,ROUND(CC39*(1-$J$5),2),IF($E$10=$I$6,ROUND(CC39*(1-$J$6),2),IF($E$10=$I$7,ROUND(CC39*(1-$J$7),2),IF($E$10=$I$8,ROUND(CC39*(1-$J$8),2),CC39))))))</f>
        <v>2.2200000000000002</v>
      </c>
      <c r="CF39" s="149">
        <v>188560</v>
      </c>
      <c r="CG39" s="149" t="str">
        <f>+CG38</f>
        <v>Varilla 7.5 mm x 12 m</v>
      </c>
      <c r="CH39" s="164">
        <v>7.02</v>
      </c>
      <c r="CJ39" s="149">
        <f>+CP_2026!B96</f>
        <v>188053</v>
      </c>
      <c r="CK39" s="149" t="str">
        <f>+CP_2026!C96</f>
        <v>Motto  (rojo) 200</v>
      </c>
      <c r="CL39" s="164">
        <f>+CP_2026!L96</f>
        <v>29.51</v>
      </c>
    </row>
    <row r="40" spans="1:90">
      <c r="A40" s="149">
        <f>+CP_2026!B28</f>
        <v>189483</v>
      </c>
      <c r="B40" s="149" t="str">
        <f>+CP_2026!C28</f>
        <v>CercasPro 2,08x2.50m  Verde</v>
      </c>
      <c r="C40" s="151">
        <f>+M4</f>
        <v>2.08</v>
      </c>
      <c r="D40" s="95">
        <v>2.08</v>
      </c>
      <c r="E40" s="95"/>
      <c r="F40" s="151">
        <f>+CP_2026!D28</f>
        <v>21.95</v>
      </c>
      <c r="G40" s="154">
        <f>+CP_2026!L28</f>
        <v>119.79</v>
      </c>
      <c r="H40" s="154">
        <f t="shared" si="0"/>
        <v>101.7</v>
      </c>
      <c r="J40" s="149">
        <v>270876</v>
      </c>
      <c r="K40" s="149" t="s">
        <v>48</v>
      </c>
      <c r="L40" s="149" t="s">
        <v>390</v>
      </c>
      <c r="M40" s="151">
        <v>0.55000000000000004</v>
      </c>
      <c r="N40" s="151">
        <v>3.7</v>
      </c>
      <c r="O40" s="151">
        <f>+VLOOKUP(J40,CP_2026!$B$28:$L$55,3,FALSE)</f>
        <v>7.3</v>
      </c>
      <c r="P40" s="154">
        <f>+VLOOKUP(J40,CP_2026!$B$28:$L$55,11,FALSE)</f>
        <v>35.558649789029538</v>
      </c>
      <c r="Q40" s="156">
        <f>+IF($E$10=$I$3,ROUND(P40*(1-$J$3),2),IF($E$10=$I$4,ROUND(P40*(1-$J$4),2),IF($E$10=$I$5,ROUND(P40*(1-$J$5),2),IF($E$10=$I$6,ROUND(P40*(1-$J$6),2),IF($E$10=$I$7,ROUND(P40*(1-$J$7),2),IF($E$10=$I$8,ROUND(P40*(1-$J$8),2),P40))))))</f>
        <v>30.19</v>
      </c>
      <c r="S40" s="149">
        <v>270874</v>
      </c>
      <c r="T40" s="149" t="s">
        <v>47</v>
      </c>
      <c r="U40" s="149" t="s">
        <v>193</v>
      </c>
      <c r="V40" s="95">
        <v>2.13</v>
      </c>
      <c r="W40" s="95">
        <v>7.29</v>
      </c>
      <c r="X40" s="160">
        <f>+VLOOKUP(S40,CP_2026!$B$27:$L$55,11,FALSE)</f>
        <v>35.895443037974687</v>
      </c>
      <c r="Y40" s="160">
        <f>+IF($E$10=$I$3,ROUND(X40*(1-$J$3),2),IF($E$10=$I$4,ROUND(X40*(1-$J$4),2),IF($E$10=$I$5,ROUND(X40*(1-$J$5),2),IF($E$10=$I$6,ROUND(X40*(1-$J$6),2),IF($E$10=$I$7,ROUND(X40*(1-$J$7),2),IF($E$10=$I$8,ROUND(X40*(1-$J$8),2),X40))))))</f>
        <v>30.47</v>
      </c>
      <c r="AA40" s="565"/>
      <c r="AB40" s="565"/>
      <c r="AC40" s="163">
        <v>5</v>
      </c>
      <c r="AD40" s="582"/>
      <c r="AE40" s="582"/>
      <c r="AG40" s="149">
        <f>+AG39</f>
        <v>270501</v>
      </c>
      <c r="AH40" s="149" t="str">
        <f>+AH39</f>
        <v>Perno coche 1/4"X2 1/2" INOX 316 CHN</v>
      </c>
      <c r="AI40" s="151">
        <v>2.5</v>
      </c>
      <c r="AJ40" s="154">
        <f>+AJ39</f>
        <v>0.87915611814345995</v>
      </c>
      <c r="AK40" s="154">
        <f t="shared" si="1"/>
        <v>0.75</v>
      </c>
      <c r="BB40" s="149">
        <f t="shared" ref="BB40:BD41" si="4">+BB39</f>
        <v>189488</v>
      </c>
      <c r="BC40" s="149" t="str">
        <f t="shared" si="4"/>
        <v>ProTapa plástica 60x60mm</v>
      </c>
      <c r="BD40" s="154">
        <f t="shared" si="4"/>
        <v>1.54</v>
      </c>
      <c r="BE40" s="154">
        <f t="shared" si="2"/>
        <v>1.31</v>
      </c>
      <c r="BL40" s="159">
        <f>+BL39</f>
        <v>189186</v>
      </c>
      <c r="BM40" s="159" t="str">
        <f>+BM39</f>
        <v>Brazo 45° 60x60 VER</v>
      </c>
      <c r="BN40" s="156">
        <f>+BN39</f>
        <v>30.25</v>
      </c>
      <c r="BO40" s="156">
        <f t="shared" si="3"/>
        <v>25.68</v>
      </c>
      <c r="CJ40" s="149">
        <f>+CP_2026!B97</f>
        <v>188051</v>
      </c>
      <c r="CK40" s="149" t="str">
        <f>+CP_2026!C97</f>
        <v>Motto  (azul) 300</v>
      </c>
      <c r="CL40" s="164">
        <f>+CP_2026!L97</f>
        <v>46.15</v>
      </c>
    </row>
    <row r="41" spans="1:90">
      <c r="A41" s="149"/>
      <c r="B41" s="149"/>
      <c r="C41" s="151"/>
      <c r="D41" s="95"/>
      <c r="E41" s="95"/>
      <c r="F41" s="95"/>
      <c r="G41" s="154"/>
      <c r="H41" s="154">
        <f t="shared" si="0"/>
        <v>0</v>
      </c>
      <c r="J41" s="149"/>
      <c r="K41" s="149"/>
      <c r="L41" s="149"/>
      <c r="M41" s="151"/>
      <c r="N41" s="151"/>
      <c r="O41" s="151"/>
      <c r="P41" s="154"/>
      <c r="Q41" s="156"/>
      <c r="S41" s="95"/>
      <c r="T41" s="95"/>
      <c r="U41" s="149"/>
      <c r="V41" s="95"/>
      <c r="W41" s="95"/>
      <c r="X41" s="160"/>
      <c r="Y41" s="160">
        <f t="shared" ref="Y41:Y42" si="5">+IF($E$10=$I$3,ROUND(X41*(1-$J$3),2),IF($E$10=$I$4,ROUND(X41*(1-$J$4),2),IF($E$10=$I$5,ROUND(X41*(1-$J$5),2),IF($E$10=$I$6,ROUND(X41*(1-$J$6),2),IF($E$10=$I$7,ROUND(X41*(1-$J$7),2),IF($E$10=$I$8,ROUND(X41*(1-$J$8),2),X41))))))</f>
        <v>0</v>
      </c>
      <c r="AA41" s="565"/>
      <c r="AB41" s="565"/>
      <c r="AC41" s="163">
        <v>5</v>
      </c>
      <c r="AD41" s="582"/>
      <c r="AE41" s="582"/>
      <c r="AG41" s="149">
        <f>+AG40</f>
        <v>270501</v>
      </c>
      <c r="AH41" s="149" t="str">
        <f>+AH40</f>
        <v>Perno coche 1/4"X2 1/2" INOX 316 CHN</v>
      </c>
      <c r="AI41" s="151">
        <v>2.5</v>
      </c>
      <c r="AJ41" s="154">
        <f>+AJ40</f>
        <v>0.87915611814345995</v>
      </c>
      <c r="AK41" s="154">
        <f t="shared" si="1"/>
        <v>0.75</v>
      </c>
      <c r="BB41" s="149">
        <f t="shared" si="4"/>
        <v>189488</v>
      </c>
      <c r="BC41" s="149" t="str">
        <f t="shared" si="4"/>
        <v>ProTapa plástica 60x60mm</v>
      </c>
      <c r="BD41" s="154">
        <f t="shared" si="4"/>
        <v>1.54</v>
      </c>
      <c r="BE41" s="154">
        <f t="shared" si="2"/>
        <v>1.31</v>
      </c>
      <c r="BL41" s="159"/>
      <c r="BM41" s="159"/>
      <c r="BN41" s="156"/>
      <c r="BO41" s="156">
        <f t="shared" si="3"/>
        <v>0</v>
      </c>
      <c r="CJ41" s="149">
        <f>+CP_2026!B98</f>
        <v>188055</v>
      </c>
      <c r="CK41" s="149" t="str">
        <f>+CP_2026!C98</f>
        <v>Motto  (rojo) 400</v>
      </c>
      <c r="CL41" s="164">
        <f>+CP_2026!L98</f>
        <v>57.27</v>
      </c>
    </row>
    <row r="42" spans="1:90">
      <c r="A42" s="149">
        <f>+CP_2026!B29</f>
        <v>273709</v>
      </c>
      <c r="B42" s="149" t="str">
        <f>+CP_2026!C29</f>
        <v>CercasPro 2.40x2.50m  Verde</v>
      </c>
      <c r="C42" s="151">
        <f>+M6</f>
        <v>2.4</v>
      </c>
      <c r="D42" s="95">
        <v>2.4</v>
      </c>
      <c r="E42" s="95"/>
      <c r="F42" s="151">
        <f>+CP_2026!D29</f>
        <v>24.08</v>
      </c>
      <c r="G42" s="154">
        <f>+CP_2026!L29</f>
        <v>137.76</v>
      </c>
      <c r="H42" s="154">
        <f t="shared" si="0"/>
        <v>116.95</v>
      </c>
      <c r="J42" s="149">
        <v>270526</v>
      </c>
      <c r="K42" s="149" t="s">
        <v>50</v>
      </c>
      <c r="L42" s="149" t="s">
        <v>194</v>
      </c>
      <c r="M42" s="151">
        <v>0.6</v>
      </c>
      <c r="N42" s="151">
        <v>3</v>
      </c>
      <c r="O42" s="151">
        <f>+VLOOKUP(J42,CP_2026!$B$28:$L$55,3,FALSE)</f>
        <v>13.73</v>
      </c>
      <c r="P42" s="154">
        <f>+VLOOKUP(J42,CP_2026!$B$28:$L$55,11,FALSE)</f>
        <v>72.699999999999989</v>
      </c>
      <c r="Q42" s="156">
        <f>+IF($E$10=$I$3,ROUND(P42*(1-$J$3),2),IF($E$10=$I$4,ROUND(P42*(1-$J$4),2),IF($E$10=$I$5,ROUND(P42*(1-$J$5),2),IF($E$10=$I$6,ROUND(P42*(1-$J$6),2),IF($E$10=$I$7,ROUND(P42*(1-$J$7),2),IF($E$10=$I$8,ROUND(P42*(1-$J$8),2),P42))))))</f>
        <v>61.72</v>
      </c>
      <c r="S42" s="149">
        <v>665190</v>
      </c>
      <c r="T42" s="149" t="s">
        <v>49</v>
      </c>
      <c r="U42" s="161" t="s">
        <v>194</v>
      </c>
      <c r="V42" s="162">
        <v>2.4500000000000002</v>
      </c>
      <c r="W42" s="95">
        <v>9.48</v>
      </c>
      <c r="X42" s="160">
        <f>+VLOOKUP(S42,CP_2026!$B$27:$L$55,11,FALSE)</f>
        <v>97.42</v>
      </c>
      <c r="Y42" s="160">
        <f t="shared" si="5"/>
        <v>82.71</v>
      </c>
      <c r="AA42" s="565"/>
      <c r="AB42" s="565"/>
      <c r="AC42" s="163">
        <v>5</v>
      </c>
      <c r="AD42" s="582"/>
      <c r="AE42" s="582"/>
      <c r="AG42" s="149">
        <f>+CP_2026!B47</f>
        <v>270502</v>
      </c>
      <c r="AH42" s="149" t="str">
        <f>+CP_2026!C47</f>
        <v xml:space="preserve">Perno coche 1/4"X3" INOX 316 CHN </v>
      </c>
      <c r="AI42" s="151">
        <v>3</v>
      </c>
      <c r="AJ42" s="154">
        <f>+CP_2026!L47</f>
        <v>0.93</v>
      </c>
      <c r="AK42" s="154">
        <f t="shared" si="1"/>
        <v>0.79</v>
      </c>
      <c r="BB42" s="149">
        <f>+BB43</f>
        <v>189197</v>
      </c>
      <c r="BC42" s="149" t="str">
        <f>+BC43</f>
        <v>ProTapa poste 75x75</v>
      </c>
      <c r="BD42" s="154">
        <f>+BD43</f>
        <v>1.87</v>
      </c>
      <c r="BE42" s="154">
        <f t="shared" si="2"/>
        <v>1.59</v>
      </c>
      <c r="BL42" s="159">
        <v>270512</v>
      </c>
      <c r="BM42" s="159" t="s">
        <v>55</v>
      </c>
      <c r="BN42" s="156">
        <v>30.04</v>
      </c>
      <c r="BO42" s="156">
        <f t="shared" si="3"/>
        <v>25.5</v>
      </c>
      <c r="CJ42" s="149">
        <f>+CP_2026!B99</f>
        <v>188057</v>
      </c>
      <c r="CK42" s="149" t="str">
        <f>+CP_2026!C99</f>
        <v>Motto  (rojo) 500</v>
      </c>
      <c r="CL42" s="164">
        <f>+CP_2026!L99</f>
        <v>70.010000000000005</v>
      </c>
    </row>
    <row r="43" spans="1:90">
      <c r="A43" s="95" t="str">
        <f>+A39&amp;" / "&amp;A40</f>
        <v>189168 / 189483</v>
      </c>
      <c r="B43" s="95" t="str">
        <f>+B39&amp;" "&amp;B40</f>
        <v>CercasPro 1.11x2.50m  Verde CercasPro 2,08x2.50m  Verde</v>
      </c>
      <c r="C43" s="151">
        <f>+M7</f>
        <v>3.05</v>
      </c>
      <c r="D43" s="95">
        <v>1.1100000000000001</v>
      </c>
      <c r="E43" s="95">
        <f>+C40</f>
        <v>2.08</v>
      </c>
      <c r="F43" s="151">
        <f>+F39+F40</f>
        <v>33.83</v>
      </c>
      <c r="G43" s="154">
        <f>+G39+G40</f>
        <v>187.67000000000002</v>
      </c>
      <c r="H43" s="154">
        <f t="shared" si="0"/>
        <v>159.32</v>
      </c>
      <c r="J43" s="149">
        <v>270527</v>
      </c>
      <c r="K43" s="149" t="s">
        <v>51</v>
      </c>
      <c r="L43" s="149" t="s">
        <v>194</v>
      </c>
      <c r="M43" s="151">
        <v>0.95</v>
      </c>
      <c r="N43" s="151">
        <v>3.7</v>
      </c>
      <c r="O43" s="151">
        <f>+VLOOKUP(J43,CP_2026!$B$28:$L$55,3,FALSE)</f>
        <v>16.93</v>
      </c>
      <c r="P43" s="154">
        <f>+VLOOKUP(J43,CP_2026!$B$28:$L$55,11,FALSE)</f>
        <v>85.57274261603375</v>
      </c>
      <c r="Q43" s="156">
        <f>+IF($E$10=$I$3,ROUND(P43*(1-$J$3),2),IF($E$10=$I$4,ROUND(P43*(1-$J$4),2),IF($E$10=$I$5,ROUND(P43*(1-$J$5),2),IF($E$10=$I$6,ROUND(P43*(1-$J$6),2),IF($E$10=$I$7,ROUND(P43*(1-$J$7),2),IF($E$10=$I$8,ROUND(P43*(1-$J$8),2),P43))))))</f>
        <v>72.650000000000006</v>
      </c>
      <c r="S43" s="95"/>
      <c r="T43" s="95"/>
      <c r="U43" s="149"/>
      <c r="V43" s="95"/>
      <c r="W43" s="95"/>
      <c r="X43" s="160"/>
      <c r="Y43" s="160">
        <f>+IF($E$10=$I$3,ROUND(X43*(1-$J$3),2),IF($E$10=$I$4,ROUND(X43*(1-$J$4),2),IF($E$10=$I$5,ROUND(X43*(1-$J$5),2),IF($E$10=$I$6,ROUND(X43*(1-$J$6),2),IF($E$10=$I$7,ROUND(X43*(1-$J$7),2),IF($E$10=$I$8,ROUND(X43*(1-$J$8),2),X43))))))</f>
        <v>0</v>
      </c>
      <c r="AA43" s="565"/>
      <c r="AB43" s="565"/>
      <c r="AC43" s="163">
        <v>7</v>
      </c>
      <c r="AD43" s="582"/>
      <c r="AE43" s="582"/>
      <c r="AG43" s="149">
        <f>+CP_2026!B47</f>
        <v>270502</v>
      </c>
      <c r="AH43" s="149" t="str">
        <f>+CP_2026!C47</f>
        <v xml:space="preserve">Perno coche 1/4"X3" INOX 316 CHN </v>
      </c>
      <c r="AI43" s="151">
        <v>3</v>
      </c>
      <c r="AJ43" s="154">
        <f>+CP_2026!L47</f>
        <v>0.93</v>
      </c>
      <c r="AK43" s="154">
        <f t="shared" si="1"/>
        <v>0.79</v>
      </c>
      <c r="BB43" s="149">
        <v>189197</v>
      </c>
      <c r="BC43" s="149" t="s">
        <v>346</v>
      </c>
      <c r="BD43" s="154">
        <v>1.87</v>
      </c>
      <c r="BE43" s="154">
        <f t="shared" si="2"/>
        <v>1.59</v>
      </c>
      <c r="BL43" s="159">
        <f t="shared" ref="BL43:BN44" si="6">+BL42</f>
        <v>270512</v>
      </c>
      <c r="BM43" s="159" t="str">
        <f t="shared" si="6"/>
        <v>Brazo Puas 75x75 Verde</v>
      </c>
      <c r="BN43" s="156">
        <f t="shared" si="6"/>
        <v>30.04</v>
      </c>
      <c r="BO43" s="156">
        <f t="shared" si="3"/>
        <v>25.5</v>
      </c>
      <c r="CJ43" s="149">
        <f>+CP_2026!B100</f>
        <v>188072</v>
      </c>
      <c r="CK43" s="149" t="str">
        <f>+CP_2026!C100</f>
        <v>Motto  (rojo) 100</v>
      </c>
      <c r="CL43" s="164">
        <f>+CP_2026!L100</f>
        <v>17.239999999999998</v>
      </c>
    </row>
    <row r="44" spans="1:90">
      <c r="A44" s="95" t="str">
        <f>+A40&amp;" / "&amp;A40</f>
        <v>189483 / 189483</v>
      </c>
      <c r="B44" s="95" t="str">
        <f>+B40&amp;" / "&amp;B40</f>
        <v>CercasPro 2,08x2.50m  Verde / CercasPro 2,08x2.50m  Verde</v>
      </c>
      <c r="C44" s="151">
        <f>+M8</f>
        <v>4.0199999999999996</v>
      </c>
      <c r="D44" s="95">
        <v>2.08</v>
      </c>
      <c r="E44" s="95">
        <f>+D40</f>
        <v>2.08</v>
      </c>
      <c r="F44" s="151">
        <f>+F40+F40</f>
        <v>43.9</v>
      </c>
      <c r="G44" s="154">
        <f>+G40+G40</f>
        <v>239.58</v>
      </c>
      <c r="H44" s="154">
        <f t="shared" si="0"/>
        <v>203.39</v>
      </c>
      <c r="J44" s="149">
        <v>270877</v>
      </c>
      <c r="K44" s="149" t="s">
        <v>52</v>
      </c>
      <c r="L44" s="149" t="s">
        <v>195</v>
      </c>
      <c r="M44" s="151">
        <v>0.95</v>
      </c>
      <c r="N44" s="151">
        <v>5</v>
      </c>
      <c r="O44" s="151">
        <f>+VLOOKUP(J44,CP_2026!$B$28:$L$55,3,FALSE)</f>
        <v>31.45</v>
      </c>
      <c r="P44" s="154">
        <f>+VLOOKUP(J44,CP_2026!$B$28:$L$55,11,FALSE)</f>
        <v>160.6333333333333</v>
      </c>
      <c r="Q44" s="156">
        <f>+IF($E$10=$I$3,ROUND(P44*(1-$J$3),2),IF($E$10=$I$4,ROUND(P44*(1-$J$4),2),IF($E$10=$I$5,ROUND(P44*(1-$J$5),2),IF($E$10=$I$6,ROUND(P44*(1-$J$6),2),IF($E$10=$I$7,ROUND(P44*(1-$J$7),2),IF($E$10=$I$8,ROUND(P44*(1-$J$8),2),P44))))))</f>
        <v>136.37</v>
      </c>
      <c r="S44" s="95"/>
      <c r="T44" s="95"/>
      <c r="U44" s="149"/>
      <c r="V44" s="95"/>
      <c r="W44" s="95"/>
      <c r="X44" s="160"/>
      <c r="Y44" s="160">
        <f>+IF($E$10=$I$3,ROUND(X44*(1-$J$3),2),IF($E$10=$I$4,ROUND(X44*(1-$J$4),2),IF($E$10=$I$5,ROUND(X44*(1-$J$5),2),IF($E$10=$I$6,ROUND(X44*(1-$J$6),2),IF($E$10=$I$7,ROUND(X44*(1-$J$7),2),IF($E$10=$I$8,ROUND(X44*(1-$J$8),2),X44))))))</f>
        <v>0</v>
      </c>
      <c r="AA44" s="565"/>
      <c r="AB44" s="565"/>
      <c r="AC44" s="163">
        <v>9</v>
      </c>
      <c r="AD44" s="582"/>
      <c r="AE44" s="582"/>
      <c r="AG44" s="149">
        <f>+CP_2026!B48</f>
        <v>270503</v>
      </c>
      <c r="AH44" s="149" t="str">
        <f>+CP_2026!C48</f>
        <v>Perno coche 1/4"X4" INOX 316 CHN</v>
      </c>
      <c r="AI44" s="151">
        <v>4</v>
      </c>
      <c r="AJ44" s="154">
        <f>+CP_2026!L48</f>
        <v>1.21</v>
      </c>
      <c r="AK44" s="154">
        <f t="shared" si="1"/>
        <v>1.03</v>
      </c>
      <c r="BB44" s="149">
        <v>189196</v>
      </c>
      <c r="BC44" s="149" t="s">
        <v>347</v>
      </c>
      <c r="BD44" s="154">
        <v>2.2999999999999998</v>
      </c>
      <c r="BE44" s="154">
        <f t="shared" si="2"/>
        <v>1.95</v>
      </c>
      <c r="BL44" s="159">
        <f t="shared" si="6"/>
        <v>270512</v>
      </c>
      <c r="BM44" s="159" t="str">
        <f t="shared" si="6"/>
        <v>Brazo Puas 75x75 Verde</v>
      </c>
      <c r="BN44" s="156">
        <f t="shared" si="6"/>
        <v>30.04</v>
      </c>
      <c r="BO44" s="156">
        <f t="shared" si="3"/>
        <v>25.5</v>
      </c>
    </row>
    <row r="46" spans="1:90" s="148" customFormat="1"/>
    <row r="48" spans="1:90">
      <c r="A48" s="93" t="s">
        <v>101</v>
      </c>
      <c r="M48" s="93"/>
      <c r="N48" s="93"/>
      <c r="O48" s="93"/>
      <c r="P48" s="93"/>
    </row>
    <row r="49" spans="1:5">
      <c r="A49" s="93"/>
    </row>
    <row r="50" spans="1:5">
      <c r="A50" s="93" t="s">
        <v>185</v>
      </c>
      <c r="B50" s="92" t="s">
        <v>160</v>
      </c>
      <c r="E50" t="s">
        <v>139</v>
      </c>
    </row>
    <row r="51" spans="1:5">
      <c r="A51" t="s">
        <v>138</v>
      </c>
      <c r="B51" s="95">
        <f>+Ingreso!D22</f>
        <v>130</v>
      </c>
      <c r="D51" t="s">
        <v>181</v>
      </c>
      <c r="E51" s="149" t="str">
        <f>+L66</f>
        <v>60 x 40</v>
      </c>
    </row>
    <row r="52" spans="1:5">
      <c r="A52" t="s">
        <v>179</v>
      </c>
      <c r="B52" s="95">
        <f>ROUNDUP(((B4/2.5)+(B4/2.5)*(E14)),0)</f>
        <v>52</v>
      </c>
      <c r="D52" t="s">
        <v>140</v>
      </c>
      <c r="E52" s="151">
        <f>+N66</f>
        <v>2.6</v>
      </c>
    </row>
    <row r="53" spans="1:5">
      <c r="A53" t="s">
        <v>142</v>
      </c>
      <c r="B53" s="95">
        <f>+B5+1</f>
        <v>53</v>
      </c>
      <c r="D53" t="s">
        <v>141</v>
      </c>
      <c r="E53" s="226">
        <f>+O66</f>
        <v>5.0439999999999996</v>
      </c>
    </row>
    <row r="54" spans="1:5">
      <c r="A54" t="s">
        <v>132</v>
      </c>
      <c r="B54" s="95">
        <f>+B53</f>
        <v>53</v>
      </c>
      <c r="D54" t="s">
        <v>142</v>
      </c>
      <c r="E54" s="95">
        <f>ROUNDUP(IF((B52+1),(B52+1)*(1+E60)),0)</f>
        <v>53</v>
      </c>
    </row>
    <row r="55" spans="1:5">
      <c r="A55" t="s">
        <v>133</v>
      </c>
      <c r="B55" s="95">
        <f>+B53*AC66</f>
        <v>265</v>
      </c>
    </row>
    <row r="56" spans="1:5">
      <c r="A56" t="s">
        <v>134</v>
      </c>
      <c r="B56" s="95">
        <f>+B55</f>
        <v>265</v>
      </c>
      <c r="D56" t="s">
        <v>98</v>
      </c>
      <c r="E56" s="220" t="str">
        <f>+Ingreso!H22</f>
        <v>Franquicia</v>
      </c>
    </row>
    <row r="57" spans="1:5">
      <c r="A57" t="s">
        <v>135</v>
      </c>
      <c r="B57" s="95"/>
      <c r="D57" t="s">
        <v>128</v>
      </c>
      <c r="E57" s="220">
        <f>+Ingreso!D26</f>
        <v>2.08</v>
      </c>
    </row>
    <row r="58" spans="1:5">
      <c r="A58" t="s">
        <v>136</v>
      </c>
      <c r="B58" s="95"/>
      <c r="E58" s="97"/>
    </row>
    <row r="59" spans="1:5">
      <c r="A59" s="94" t="s">
        <v>137</v>
      </c>
      <c r="B59" s="95">
        <f>+B53</f>
        <v>53</v>
      </c>
      <c r="E59" s="97"/>
    </row>
    <row r="60" spans="1:5">
      <c r="A60" t="s">
        <v>213</v>
      </c>
      <c r="B60" s="95">
        <f>+IF(B51&lt;25,1,ROUNDUP(B51/25,0))</f>
        <v>6</v>
      </c>
      <c r="D60" t="s">
        <v>237</v>
      </c>
      <c r="E60" s="221">
        <f>+E14</f>
        <v>0</v>
      </c>
    </row>
    <row r="61" spans="1:5">
      <c r="A61" t="s">
        <v>214</v>
      </c>
      <c r="B61" s="95">
        <f>+IF(B51&lt;50,1,ROUNDUP(B51/100,0))</f>
        <v>2</v>
      </c>
    </row>
    <row r="62" spans="1:5">
      <c r="A62" t="s">
        <v>391</v>
      </c>
      <c r="B62" s="95">
        <f>ROUNDUP(((B51/2.5)),0)</f>
        <v>52</v>
      </c>
    </row>
    <row r="65" spans="1:71">
      <c r="A65" s="578" t="s">
        <v>197</v>
      </c>
      <c r="B65" s="578"/>
      <c r="C65" s="578"/>
      <c r="D65" s="578"/>
      <c r="E65" s="578"/>
      <c r="F65" s="578"/>
      <c r="G65" s="578"/>
      <c r="H65" s="578"/>
      <c r="J65" s="579" t="s">
        <v>196</v>
      </c>
      <c r="K65" s="579"/>
      <c r="L65" s="579"/>
      <c r="M65" s="579"/>
      <c r="N65" s="579"/>
      <c r="O65" s="579"/>
      <c r="P65" s="579"/>
      <c r="Q65" s="579"/>
      <c r="AA65" s="580" t="s">
        <v>199</v>
      </c>
      <c r="AB65" s="580"/>
      <c r="AC65" s="580"/>
      <c r="AD65" s="580"/>
      <c r="AE65" s="580"/>
      <c r="AG65" s="570" t="s">
        <v>207</v>
      </c>
      <c r="AH65" s="570"/>
      <c r="AI65" s="570"/>
      <c r="AJ65" s="570"/>
      <c r="AK65" s="570"/>
      <c r="AM65" s="571" t="s">
        <v>205</v>
      </c>
      <c r="AN65" s="572"/>
      <c r="AO65" s="572"/>
      <c r="AP65" s="573"/>
      <c r="AR65" s="575" t="s">
        <v>208</v>
      </c>
      <c r="AS65" s="575"/>
      <c r="AT65" s="575"/>
      <c r="AU65" s="575"/>
      <c r="AW65" s="575" t="s">
        <v>207</v>
      </c>
      <c r="AX65" s="575"/>
      <c r="AY65" s="575"/>
      <c r="AZ65" s="575"/>
      <c r="BB65" s="568" t="str">
        <f>+BC68</f>
        <v>Spray verde</v>
      </c>
      <c r="BC65" s="569"/>
      <c r="BD65" s="569"/>
      <c r="BE65" s="569"/>
      <c r="BG65" s="568" t="str">
        <f>+BH68</f>
        <v>Spray Galvanizado</v>
      </c>
      <c r="BH65" s="569"/>
      <c r="BI65" s="569"/>
      <c r="BJ65" s="569"/>
      <c r="BL65" s="577" t="s">
        <v>210</v>
      </c>
      <c r="BM65" s="577"/>
      <c r="BN65" s="577"/>
      <c r="BO65" s="577"/>
      <c r="BQ65" s="574" t="str">
        <f>+BR68</f>
        <v>Varilla 7.5 mm x 12 m</v>
      </c>
      <c r="BR65" s="574"/>
      <c r="BS65" s="574"/>
    </row>
    <row r="66" spans="1:71">
      <c r="A66" s="152">
        <f>+IF(Ingreso!D23="N",IF(C66=M4,A69,"ERROR")," ")</f>
        <v>667701</v>
      </c>
      <c r="B66" s="222" t="str">
        <f>+B69</f>
        <v>CercasPro Urb 2.08x2.50m Verde</v>
      </c>
      <c r="C66" s="157">
        <f>+C69</f>
        <v>2.08</v>
      </c>
      <c r="D66" s="152" t="b">
        <f>+IF(C66=M35,D69,IF(C66=M36,#REF!,IF(C66=M38,#REF!,IF(C66=M39,#REF!,IF(C66=M40,#REF!)))))</f>
        <v>0</v>
      </c>
      <c r="E66" s="152" t="b">
        <f>+IF(C66=M35,E69,IF(C66=M36,#REF!,IF(C66=M38,#REF!,IF(C66=M39,#REF!,IF(C66=M40,#REF!)))))</f>
        <v>0</v>
      </c>
      <c r="F66" s="157">
        <f>+F69</f>
        <v>15.426</v>
      </c>
      <c r="G66" s="155">
        <f>+G69</f>
        <v>90.39</v>
      </c>
      <c r="H66" s="155">
        <f>+H69</f>
        <v>76.739999999999995</v>
      </c>
      <c r="J66" s="222">
        <f>+IF(Ingreso!D23="N",J69," ")</f>
        <v>667702</v>
      </c>
      <c r="K66" s="222" t="str">
        <f t="shared" ref="K66:Q66" si="7">+K69</f>
        <v>PostePro Urb 60x40x1,25x2.60m  Plinto/Verde</v>
      </c>
      <c r="L66" s="222" t="str">
        <f t="shared" si="7"/>
        <v>60 x 40</v>
      </c>
      <c r="M66" s="157">
        <f t="shared" si="7"/>
        <v>0.55000000000000004</v>
      </c>
      <c r="N66" s="157">
        <f t="shared" si="7"/>
        <v>2.6</v>
      </c>
      <c r="O66" s="157">
        <f t="shared" si="7"/>
        <v>5.0439999999999996</v>
      </c>
      <c r="P66" s="155">
        <f t="shared" si="7"/>
        <v>37.61</v>
      </c>
      <c r="Q66" s="155">
        <f t="shared" si="7"/>
        <v>31.93</v>
      </c>
      <c r="AA66" s="159">
        <f>+IF(Ingreso!D23="N",AA69," ")</f>
        <v>667706</v>
      </c>
      <c r="AB66" s="87" t="str">
        <f>+AB69</f>
        <v>Fijacion Urb 37x29x7x2,5 P1/4 Verde</v>
      </c>
      <c r="AC66" s="95">
        <f>+AC69</f>
        <v>5</v>
      </c>
      <c r="AD66" s="164">
        <f>+AD69</f>
        <v>1.07</v>
      </c>
      <c r="AE66" s="164">
        <f>+AE69</f>
        <v>0.91</v>
      </c>
      <c r="AG66" s="159">
        <f>+IF(Ingreso!D23="N",AG69," ")</f>
        <v>270502</v>
      </c>
      <c r="AH66" s="87" t="str">
        <f>+AH69</f>
        <v xml:space="preserve">Perno coche 1/4"X3" INOX 316 CHN </v>
      </c>
      <c r="AI66" s="95"/>
      <c r="AJ66" s="164">
        <f>+AJ69</f>
        <v>0.93</v>
      </c>
      <c r="AK66" s="164">
        <f>+AK69</f>
        <v>0.79</v>
      </c>
      <c r="AM66" s="159">
        <f>+IF(Ingreso!D23="N",AM69," ")</f>
        <v>270504</v>
      </c>
      <c r="AN66" s="87" t="str">
        <f>+AN69</f>
        <v>Tuerca Seg.Emb.Autor.INOX 1/4 X19mm</v>
      </c>
      <c r="AO66" s="164">
        <f>+AO69</f>
        <v>2.5</v>
      </c>
      <c r="AP66" s="164">
        <f>+AP69</f>
        <v>2.12</v>
      </c>
      <c r="AR66" s="159">
        <f>+IF(Ingreso!D23="N",AR69," ")</f>
        <v>667705</v>
      </c>
      <c r="AS66" s="87" t="str">
        <f>+AS69</f>
        <v xml:space="preserve">ProTapa Plastica Gris 60x40mm </v>
      </c>
      <c r="AT66" s="164">
        <f>+AT69</f>
        <v>0.81</v>
      </c>
      <c r="AU66" s="164">
        <f>+AU69</f>
        <v>0.69</v>
      </c>
      <c r="AW66" s="159">
        <f>+IF(Ingreso!D23="N",AW69," ")</f>
        <v>270501</v>
      </c>
      <c r="AX66" s="87" t="str">
        <f>+AX69</f>
        <v>Perno coche 1/4"X2 1/2" INOX 316 CHN</v>
      </c>
      <c r="AY66" s="164">
        <f>+AY69</f>
        <v>0.87915611814345995</v>
      </c>
      <c r="AZ66" s="164">
        <f>+AZ69</f>
        <v>0.75</v>
      </c>
      <c r="BB66" s="159">
        <f>+IF(Ingreso!D23="N",BB69," ")</f>
        <v>189205</v>
      </c>
      <c r="BC66" s="159" t="str">
        <f>+BC69</f>
        <v>SPRAY VERDE 077 SEYER</v>
      </c>
      <c r="BD66" s="164">
        <f>+BD69</f>
        <v>4.2724850099933374</v>
      </c>
      <c r="BE66" s="164">
        <f>+BE69</f>
        <v>3.63</v>
      </c>
      <c r="BG66" s="159">
        <f>+IF(Ingreso!D23="N",BG69," ")</f>
        <v>683471</v>
      </c>
      <c r="BH66" s="159" t="str">
        <f>+BH69</f>
        <v>SPRAY GALV FRIO</v>
      </c>
      <c r="BI66" s="164">
        <f>+BI69</f>
        <v>22.11</v>
      </c>
      <c r="BJ66" s="164">
        <f>+BJ69</f>
        <v>31.85</v>
      </c>
      <c r="BL66" s="159">
        <f>+IF(Ingreso!D23="N",BL69," ")</f>
        <v>689168</v>
      </c>
      <c r="BM66" s="159" t="str">
        <f>+BM69</f>
        <v xml:space="preserve">Brazo puas Urb inclinado 60x40x1,5x455 VER </v>
      </c>
      <c r="BN66" s="164">
        <f>+BN69</f>
        <v>22.88</v>
      </c>
      <c r="BO66" s="164">
        <f>+BO69</f>
        <v>19.420000000000002</v>
      </c>
      <c r="BQ66" s="87">
        <f>+IF(Ingreso!D23="N",IF($A$36=Z69,BQ69,IF(Z66=Z70,BQ69,IF(Z66=Z88,BQ69,IF(Z66=#REF!,BQ69,IF(Z66=#REF!,BQ69)))))," ")</f>
        <v>188560</v>
      </c>
      <c r="BR66" s="159" t="str">
        <f>+BR69</f>
        <v>Varilla 7.5 mm x 12 m</v>
      </c>
      <c r="BS66" s="164">
        <f>ROUND(BS69*(1-Ingreso!H29),2)</f>
        <v>7.02</v>
      </c>
    </row>
    <row r="68" spans="1:71">
      <c r="A68" s="150" t="s">
        <v>1</v>
      </c>
      <c r="B68" s="150" t="s">
        <v>185</v>
      </c>
      <c r="C68" s="150" t="s">
        <v>183</v>
      </c>
      <c r="D68" s="150" t="s">
        <v>186</v>
      </c>
      <c r="E68" s="150" t="s">
        <v>187</v>
      </c>
      <c r="F68" s="150" t="s">
        <v>182</v>
      </c>
      <c r="G68" s="192" t="s">
        <v>218</v>
      </c>
      <c r="H68" s="150" t="s">
        <v>188</v>
      </c>
      <c r="J68" s="150" t="s">
        <v>1</v>
      </c>
      <c r="K68" s="150" t="s">
        <v>185</v>
      </c>
      <c r="L68" s="153" t="s">
        <v>191</v>
      </c>
      <c r="M68" s="153" t="s">
        <v>198</v>
      </c>
      <c r="N68" s="153" t="s">
        <v>192</v>
      </c>
      <c r="O68" s="153" t="s">
        <v>182</v>
      </c>
      <c r="P68" s="153" t="s">
        <v>184</v>
      </c>
      <c r="Q68" s="150" t="s">
        <v>188</v>
      </c>
      <c r="AA68" s="150" t="s">
        <v>1</v>
      </c>
      <c r="AB68" s="150" t="s">
        <v>185</v>
      </c>
      <c r="AC68" s="150" t="s">
        <v>200</v>
      </c>
      <c r="AD68" s="150" t="s">
        <v>184</v>
      </c>
      <c r="AE68" s="150" t="s">
        <v>188</v>
      </c>
      <c r="AG68" s="150" t="s">
        <v>1</v>
      </c>
      <c r="AH68" s="150" t="s">
        <v>185</v>
      </c>
      <c r="AI68" s="150"/>
      <c r="AJ68" s="150" t="s">
        <v>184</v>
      </c>
      <c r="AK68" s="150" t="s">
        <v>188</v>
      </c>
      <c r="AM68" s="150" t="s">
        <v>1</v>
      </c>
      <c r="AN68" s="150" t="s">
        <v>185</v>
      </c>
      <c r="AO68" s="150" t="s">
        <v>184</v>
      </c>
      <c r="AP68" s="150" t="s">
        <v>188</v>
      </c>
      <c r="AR68" s="150" t="s">
        <v>1</v>
      </c>
      <c r="AS68" s="150" t="s">
        <v>185</v>
      </c>
      <c r="AT68" s="150" t="s">
        <v>184</v>
      </c>
      <c r="AU68" s="150" t="s">
        <v>188</v>
      </c>
      <c r="AW68" s="150" t="s">
        <v>1</v>
      </c>
      <c r="AX68" s="150" t="s">
        <v>185</v>
      </c>
      <c r="AY68" s="150" t="s">
        <v>184</v>
      </c>
      <c r="AZ68" s="150" t="s">
        <v>188</v>
      </c>
      <c r="BB68" s="166" t="s">
        <v>1</v>
      </c>
      <c r="BC68" s="171" t="s">
        <v>213</v>
      </c>
      <c r="BD68" s="166" t="s">
        <v>184</v>
      </c>
      <c r="BE68" s="166" t="s">
        <v>188</v>
      </c>
      <c r="BG68" s="166" t="s">
        <v>1</v>
      </c>
      <c r="BH68" s="171" t="s">
        <v>214</v>
      </c>
      <c r="BI68" s="166" t="s">
        <v>184</v>
      </c>
      <c r="BJ68" s="166" t="s">
        <v>188</v>
      </c>
      <c r="BL68" s="168" t="s">
        <v>1</v>
      </c>
      <c r="BM68" s="172" t="s">
        <v>210</v>
      </c>
      <c r="BN68" s="168" t="s">
        <v>184</v>
      </c>
      <c r="BO68" s="168" t="s">
        <v>188</v>
      </c>
      <c r="BQ68" s="175" t="s">
        <v>1</v>
      </c>
      <c r="BR68" s="43" t="s">
        <v>221</v>
      </c>
      <c r="BS68" s="175" t="s">
        <v>184</v>
      </c>
    </row>
    <row r="69" spans="1:71">
      <c r="A69" s="149">
        <f>+CP_2026!B18</f>
        <v>667701</v>
      </c>
      <c r="B69" s="149" t="str">
        <f>+CP_2026!C18</f>
        <v>CercasPro Urb 2.08x2.50m Verde</v>
      </c>
      <c r="C69" s="151">
        <v>2.08</v>
      </c>
      <c r="D69" s="95"/>
      <c r="E69" s="95"/>
      <c r="F69" s="151">
        <f>+CP_2026!D18</f>
        <v>15.426</v>
      </c>
      <c r="G69" s="151">
        <f>+CP_2026!L18</f>
        <v>90.39</v>
      </c>
      <c r="H69" s="151">
        <f>+IF($E$56=$I$3,ROUND(G69*(1-$J$3),2),IF($E$56=$I$4,ROUND(G69*(1-$J$4),2),IF($E$56=$I$5,ROUND(G69*(1-$J$5),2),IF($E$56=$I$6,ROUND(G69*(1-$J$6),2),IF($E$56=$I$7,ROUND(G69*(1-$J$7),2),IF($E$56=$I$8,ROUND(G69*(1-$J$8),2),G69))))))</f>
        <v>76.739999999999995</v>
      </c>
      <c r="J69" s="149">
        <f>+CP_2026!B19</f>
        <v>667702</v>
      </c>
      <c r="K69" s="149" t="str">
        <f>+CP_2026!C19</f>
        <v>PostePro Urb 60x40x1,25x2.60m  Plinto/Verde</v>
      </c>
      <c r="L69" s="149" t="s">
        <v>238</v>
      </c>
      <c r="M69" s="151">
        <v>0.55000000000000004</v>
      </c>
      <c r="N69" s="151">
        <v>2.6</v>
      </c>
      <c r="O69" s="151">
        <f>+CP_2026!D19</f>
        <v>5.0439999999999996</v>
      </c>
      <c r="P69" s="154">
        <f>+CP_2026!L19</f>
        <v>37.61</v>
      </c>
      <c r="Q69" s="156">
        <f>+IF($E$56=$I$3,ROUND(P69*(1-$J$3),2),IF($E$56=$I$4,ROUND(P69*(1-$J$4),2),IF($E$56=$I$5,ROUND(P69*(1-$J$5),2),IF($E$56=$I$6,ROUND(P69*(1-$J$6),2),IF($E$56=$I$7,ROUND(P69*(1-$J$7),2),IF($E$56=$I$8,ROUND(P69*(1-$J$8),2),P69))))))</f>
        <v>31.93</v>
      </c>
      <c r="AA69" s="223">
        <f>+CP_2026!B21</f>
        <v>667706</v>
      </c>
      <c r="AB69" s="224" t="str">
        <f>+CP_2026!C21</f>
        <v>Fijacion Urb 37x29x7x2,5 P1/4 Verde</v>
      </c>
      <c r="AC69" s="163">
        <v>5</v>
      </c>
      <c r="AD69" s="225">
        <f>+CP_2026!L21</f>
        <v>1.07</v>
      </c>
      <c r="AE69" s="225">
        <f>+IF($E$56=$I$3,ROUND(AD69*(1-$J$3),2),IF($E$56=$I$4,ROUND(AD69*(1-$J$4),2),IF($E$56=$I$5,ROUND(AD69*(1-$J$5),2),IF($E$56=$I$6,ROUND(AD69*(1-$J$6),2),IF($E$56=$I$7,ROUND(AD69*(1-$J$7),2),IF($E$56=$I$8,ROUND(AD69*(1-$J$8),2),AD69))))))</f>
        <v>0.91</v>
      </c>
      <c r="AG69" s="223">
        <f>+CP_2026!B23</f>
        <v>270502</v>
      </c>
      <c r="AH69" s="223" t="str">
        <f>+CP_2026!C23</f>
        <v xml:space="preserve">Perno coche 1/4"X3" INOX 316 CHN </v>
      </c>
      <c r="AI69" s="163"/>
      <c r="AJ69" s="225">
        <f>+CP_2026!L23</f>
        <v>0.93</v>
      </c>
      <c r="AK69" s="225">
        <f>+IF($E$56=$I$3,ROUND(AJ69*(1-$J$3),2),IF($E$56=$I$4,ROUND(AJ69*(1-$J$4),2),IF($E$56=$I$5,ROUND(AJ69*(1-$J$5),2),IF($E$56=$I$6,ROUND(AJ69*(1-$J$6),2),IF($E$56=$I$7,ROUND(AJ69*(1-$J$7),2),IF($E$56=$I$8,ROUND(AJ69*(1-$J$8),2),AJ69))))))</f>
        <v>0.79</v>
      </c>
      <c r="AM69" s="223">
        <f>+CP_2026!B24</f>
        <v>270504</v>
      </c>
      <c r="AN69" s="224" t="str">
        <f>+CP_2026!C24</f>
        <v>Tuerca Seg.Emb.Autor.INOX 1/4 X19mm</v>
      </c>
      <c r="AO69" s="225">
        <f>+CP_2026!L24</f>
        <v>2.5</v>
      </c>
      <c r="AP69" s="225">
        <f>+IF($E$56=$I$3,ROUND(AO69*(1-$J$3),2),IF($E$56=$I$4,ROUND(AO69*(1-$J$4),2),IF($E$56=$I$5,ROUND(AO69*(1-$J$5),2),IF($E$56=$I$6,ROUND(AO69*(1-$J$6),2),IF($E$56=$I$7,ROUND(AO69*(1-$J$7),2),IF($E$56=$I$8,ROUND(AO69*(1-$J$8),2),AO69))))))</f>
        <v>2.12</v>
      </c>
      <c r="AR69" s="223">
        <f>+CP_2026!B20</f>
        <v>667705</v>
      </c>
      <c r="AS69" s="224" t="str">
        <f>+CP_2026!C20</f>
        <v xml:space="preserve">ProTapa Plastica Gris 60x40mm </v>
      </c>
      <c r="AT69" s="225">
        <f>+CP_2026!L20</f>
        <v>0.81</v>
      </c>
      <c r="AU69" s="225">
        <f>+IF($E$56=$I$3,ROUND(AT69*(1-$J$3),2),IF($E$56=$I$4,ROUND(AT69*(1-$J$4),2),IF($E$56=$I$5,ROUND(AT69*(1-$J$5),2),IF($E$56=$I$6,ROUND(AT69*(1-$J$6),2),IF($E$56=$I$7,ROUND(AT69*(1-$J$7),2),IF($E$56=$I$8,ROUND(AT69*(1-$J$8),2),AT69))))))</f>
        <v>0.69</v>
      </c>
      <c r="AW69" s="223">
        <f>+CP_2026!B22</f>
        <v>270501</v>
      </c>
      <c r="AX69" s="224" t="str">
        <f>+CP_2026!C22</f>
        <v>Perno coche 1/4"X2 1/2" INOX 316 CHN</v>
      </c>
      <c r="AY69" s="225">
        <f>+CP_2026!L22</f>
        <v>0.87915611814345995</v>
      </c>
      <c r="AZ69" s="225">
        <f>+IF($E$56=$I$3,ROUND(AY69*(1-$J$3),2),IF($E$56=$I$4,ROUND(AY69*(1-$J$4),2),IF($E$56=$I$5,ROUND(AY69*(1-$J$5),2),IF($E$56=$I$6,ROUND(AY69*(1-$J$6),2),IF($E$56=$I$7,ROUND(AY69*(1-$J$7),2),IF($E$56=$I$8,ROUND(AY69*(1-$J$8),2),AY69))))))</f>
        <v>0.75</v>
      </c>
      <c r="BB69" s="149">
        <f>+CP_2026!B52</f>
        <v>189205</v>
      </c>
      <c r="BC69" s="149" t="str">
        <f>+CP_2026!C52</f>
        <v>SPRAY VERDE 077 SEYER</v>
      </c>
      <c r="BD69" s="164">
        <f>+CP_2026!L52</f>
        <v>4.2724850099933374</v>
      </c>
      <c r="BE69" s="164">
        <f>+IF($E$10=$I$3,ROUND(BS39*(1-$J$3),2),IF($E$10=$I$4,ROUND(BS39*(1-$J$4),2),IF($E$10=$I$5,ROUND(BS39*(1-$J$5),2),IF($E$10=$I$6,ROUND(BS39*(1-$J$6),2),IF($E$10=$I$7,ROUND(BS39*(1-$J$7),2),IF($E$10=$I$8,ROUND(BS39*(1-$J$8),2),BS39))))))</f>
        <v>3.63</v>
      </c>
      <c r="BG69" s="149">
        <v>683471</v>
      </c>
      <c r="BH69" s="149" t="s">
        <v>63</v>
      </c>
      <c r="BI69" s="164">
        <v>22.11</v>
      </c>
      <c r="BJ69" s="164">
        <f>+IF($E$10=$I$3,ROUND(BX39*(1-$J$3),2),IF($E$10=$I$4,ROUND(BX39*(1-$J$4),2),IF($E$10=$I$5,ROUND(BX39*(1-$J$5),2),IF($E$10=$I$6,ROUND(BX39*(1-$J$6),2),IF($E$10=$I$7,ROUND(BX39*(1-$J$7),2),IF($E$10=$I$8,ROUND(BX39*(1-$J$8),2),BX39))))))</f>
        <v>31.85</v>
      </c>
      <c r="BL69" s="159">
        <f>+CP_2026!B25</f>
        <v>689168</v>
      </c>
      <c r="BM69" s="159" t="str">
        <f>+CP_2026!C25</f>
        <v xml:space="preserve">Brazo puas Urb inclinado 60x40x1,5x455 VER </v>
      </c>
      <c r="BN69" s="156">
        <f>+CP_2026!L25</f>
        <v>22.88</v>
      </c>
      <c r="BO69" s="156">
        <f>+IF($E$10=$I$3,ROUND(BN69*(1-$J$3),2),IF($E$10=$I$4,ROUND(BN69*(1-$J$4),2),IF($E$10=$I$5,ROUND(BN69*(1-$J$5),2),IF($E$10=$I$6,ROUND(BN69*(1-$J$6),2),IF($E$10=$I$7,ROUND(BN69*(1-$J$7),2),IF($E$10=$I$8,ROUND(BN69*(1-$J$8),2),BN69))))))</f>
        <v>19.420000000000002</v>
      </c>
      <c r="BQ69" s="149">
        <v>188560</v>
      </c>
      <c r="BR69" s="149" t="s">
        <v>221</v>
      </c>
      <c r="BS69" s="164">
        <v>7.02</v>
      </c>
    </row>
    <row r="71" spans="1:71" s="148" customFormat="1"/>
    <row r="73" spans="1:71">
      <c r="A73" s="93" t="s">
        <v>102</v>
      </c>
      <c r="M73" s="93"/>
      <c r="N73" s="93"/>
      <c r="O73" s="93"/>
      <c r="P73" s="93"/>
    </row>
    <row r="74" spans="1:71">
      <c r="A74" s="93"/>
    </row>
    <row r="75" spans="1:71">
      <c r="A75" s="93" t="s">
        <v>185</v>
      </c>
      <c r="B75" s="92" t="s">
        <v>160</v>
      </c>
      <c r="E75" t="s">
        <v>139</v>
      </c>
    </row>
    <row r="76" spans="1:71">
      <c r="A76" t="s">
        <v>138</v>
      </c>
      <c r="B76" s="95">
        <f>+Ingreso!D22</f>
        <v>130</v>
      </c>
      <c r="D76" t="s">
        <v>181</v>
      </c>
      <c r="E76" s="149"/>
    </row>
    <row r="77" spans="1:71">
      <c r="A77" t="s">
        <v>179</v>
      </c>
      <c r="B77" s="95">
        <f>(CEILING((B76/1.5),1))</f>
        <v>87</v>
      </c>
      <c r="D77" t="s">
        <v>140</v>
      </c>
      <c r="E77" s="151"/>
    </row>
    <row r="78" spans="1:71">
      <c r="A78" t="s">
        <v>142</v>
      </c>
      <c r="B78" s="95"/>
      <c r="D78" t="s">
        <v>141</v>
      </c>
      <c r="E78" s="226"/>
    </row>
    <row r="79" spans="1:71">
      <c r="A79" t="s">
        <v>132</v>
      </c>
      <c r="B79" s="95"/>
      <c r="D79" t="s">
        <v>142</v>
      </c>
      <c r="E79" s="95"/>
    </row>
    <row r="80" spans="1:71">
      <c r="A80" t="s">
        <v>133</v>
      </c>
      <c r="B80" s="95"/>
    </row>
    <row r="81" spans="1:47">
      <c r="A81" t="s">
        <v>134</v>
      </c>
      <c r="B81" s="95"/>
      <c r="D81" t="s">
        <v>98</v>
      </c>
      <c r="E81" s="220" t="str">
        <f>+Ingreso!H22</f>
        <v>Franquicia</v>
      </c>
    </row>
    <row r="82" spans="1:47">
      <c r="A82" t="s">
        <v>135</v>
      </c>
      <c r="B82" s="95"/>
      <c r="D82" t="s">
        <v>128</v>
      </c>
      <c r="E82" s="220"/>
    </row>
    <row r="83" spans="1:47">
      <c r="A83" t="s">
        <v>136</v>
      </c>
      <c r="B83" s="95"/>
      <c r="E83" s="97"/>
    </row>
    <row r="84" spans="1:47">
      <c r="A84" s="94" t="s">
        <v>137</v>
      </c>
      <c r="B84" s="95"/>
      <c r="E84" s="97"/>
    </row>
    <row r="85" spans="1:47">
      <c r="A85" t="s">
        <v>213</v>
      </c>
      <c r="B85" s="95">
        <f>+IF(B76&lt;25,1,ROUNDUP(B76/25,0))</f>
        <v>6</v>
      </c>
      <c r="D85" t="s">
        <v>237</v>
      </c>
      <c r="E85" s="221">
        <f>+E60</f>
        <v>0</v>
      </c>
    </row>
    <row r="86" spans="1:47">
      <c r="A86" t="s">
        <v>214</v>
      </c>
      <c r="B86" s="95"/>
    </row>
    <row r="87" spans="1:47">
      <c r="A87" t="s">
        <v>391</v>
      </c>
      <c r="B87" s="95">
        <f>ROUNDUP(((B76/1.5)),0)</f>
        <v>87</v>
      </c>
    </row>
    <row r="90" spans="1:47">
      <c r="A90" s="578" t="s">
        <v>197</v>
      </c>
      <c r="B90" s="578"/>
      <c r="C90" s="578"/>
      <c r="D90" s="578"/>
      <c r="E90" s="578"/>
      <c r="F90" s="578"/>
      <c r="G90" s="578"/>
      <c r="H90" s="578"/>
      <c r="J90" s="579" t="s">
        <v>239</v>
      </c>
      <c r="K90" s="579"/>
      <c r="L90" s="579"/>
      <c r="M90" s="579"/>
      <c r="N90" s="579"/>
      <c r="O90" s="579"/>
      <c r="P90" s="579"/>
      <c r="Q90" s="579"/>
      <c r="S90" s="575" t="s">
        <v>240</v>
      </c>
      <c r="T90" s="575"/>
      <c r="U90" s="575"/>
      <c r="V90" s="575"/>
      <c r="AA90" s="584" t="s">
        <v>241</v>
      </c>
      <c r="AB90" s="584"/>
      <c r="AC90" s="584"/>
      <c r="AD90" s="584"/>
      <c r="AG90" s="583" t="s">
        <v>242</v>
      </c>
      <c r="AH90" s="583"/>
      <c r="AI90" s="583"/>
      <c r="AJ90" s="583"/>
      <c r="AM90" s="568" t="str">
        <f>+AN93</f>
        <v>Spray verde</v>
      </c>
      <c r="AN90" s="569"/>
      <c r="AO90" s="569"/>
      <c r="AP90" s="569"/>
      <c r="AR90" s="568" t="str">
        <f>+AS93</f>
        <v>Spray Galvanizado</v>
      </c>
      <c r="AS90" s="569"/>
      <c r="AT90" s="569"/>
      <c r="AU90" s="569"/>
    </row>
    <row r="91" spans="1:47">
      <c r="A91" s="222">
        <f>+A95</f>
        <v>270428</v>
      </c>
      <c r="B91" s="222" t="str">
        <f>+B95</f>
        <v>Pro Intradom 1,25x1,50m Verde</v>
      </c>
      <c r="C91" s="157">
        <f>+C95</f>
        <v>1.25</v>
      </c>
      <c r="D91" s="152" t="b">
        <f>+IF(C91=M60,D95,IF(C91=M61,#REF!,IF(C91=M63,#REF!,IF(C91=M64,#REF!,IF(C91=M65,#REF!)))))</f>
        <v>0</v>
      </c>
      <c r="E91" s="152" t="b">
        <f>+IF(C91=M60,E95,IF(C91=M61,#REF!,IF(C91=M63,#REF!,IF(C91=M64,#REF!,IF(C91=M65,#REF!)))))</f>
        <v>0</v>
      </c>
      <c r="F91" s="157">
        <f>+F95</f>
        <v>4.97</v>
      </c>
      <c r="G91" s="155">
        <f>+G95</f>
        <v>32.909999999999997</v>
      </c>
      <c r="H91" s="155">
        <f>+H95</f>
        <v>27.94</v>
      </c>
      <c r="J91" s="222">
        <f t="shared" ref="J91:Q91" si="8">+J94</f>
        <v>270430</v>
      </c>
      <c r="K91" s="222" t="str">
        <f t="shared" si="8"/>
        <v>Pro Intradom Kit Poste 1.70 Verde</v>
      </c>
      <c r="L91" s="222">
        <f t="shared" si="8"/>
        <v>0</v>
      </c>
      <c r="M91" s="157">
        <f t="shared" si="8"/>
        <v>0</v>
      </c>
      <c r="N91" s="157">
        <f t="shared" si="8"/>
        <v>1.7</v>
      </c>
      <c r="O91" s="157">
        <f t="shared" si="8"/>
        <v>2.3199999999999998</v>
      </c>
      <c r="P91" s="155">
        <f t="shared" si="8"/>
        <v>34.85</v>
      </c>
      <c r="Q91" s="155">
        <f t="shared" si="8"/>
        <v>29.59</v>
      </c>
      <c r="S91" s="149">
        <f>+S94</f>
        <v>270433</v>
      </c>
      <c r="T91" s="149" t="str">
        <f>+T94</f>
        <v>Pro Intradom Kit Puerta Verde</v>
      </c>
      <c r="U91" s="154">
        <f>+U94</f>
        <v>149.07</v>
      </c>
      <c r="V91" s="154">
        <f>+V94</f>
        <v>126.55</v>
      </c>
      <c r="AA91" s="149">
        <f>+AA94</f>
        <v>189158</v>
      </c>
      <c r="AB91" s="149" t="str">
        <f>+AB94</f>
        <v>Pro Intradom Set Abrazadera 6Pack Verde</v>
      </c>
      <c r="AC91" s="154">
        <f>+AC94</f>
        <v>23.96</v>
      </c>
      <c r="AD91" s="154">
        <f>+AD94</f>
        <v>20.34</v>
      </c>
      <c r="AG91" s="149">
        <f>+AG94</f>
        <v>189159</v>
      </c>
      <c r="AH91" s="149" t="str">
        <f>+AH94</f>
        <v>Pro Intradom Set Tapa 6Pack Verde</v>
      </c>
      <c r="AI91" s="154">
        <f>+AI94</f>
        <v>1.6</v>
      </c>
      <c r="AJ91" s="154">
        <f>+AJ94</f>
        <v>1.36</v>
      </c>
      <c r="AM91" s="159">
        <f>+AM94</f>
        <v>189205</v>
      </c>
      <c r="AN91" s="159" t="str">
        <f>+AN94</f>
        <v>SPRAY VERDE 077 SEYER</v>
      </c>
      <c r="AO91" s="164">
        <f>+AO94</f>
        <v>4.2724850099933374</v>
      </c>
      <c r="AP91" s="164">
        <f>+AP94</f>
        <v>3.63</v>
      </c>
      <c r="AR91" s="159">
        <f>+AR94</f>
        <v>683471</v>
      </c>
      <c r="AS91" s="159" t="str">
        <f>+AS94</f>
        <v>SPRAY GALV FRIO</v>
      </c>
      <c r="AT91" s="164">
        <f>+AT94</f>
        <v>37.517039922103216</v>
      </c>
      <c r="AU91" s="164">
        <f>+AU94</f>
        <v>31.85</v>
      </c>
    </row>
    <row r="93" spans="1:47">
      <c r="A93" s="150" t="s">
        <v>1</v>
      </c>
      <c r="B93" s="150" t="s">
        <v>185</v>
      </c>
      <c r="C93" s="150" t="s">
        <v>183</v>
      </c>
      <c r="D93" s="150" t="s">
        <v>186</v>
      </c>
      <c r="E93" s="150" t="s">
        <v>187</v>
      </c>
      <c r="F93" s="150" t="s">
        <v>182</v>
      </c>
      <c r="G93" s="192" t="s">
        <v>218</v>
      </c>
      <c r="H93" s="150" t="s">
        <v>188</v>
      </c>
      <c r="J93" s="150" t="s">
        <v>1</v>
      </c>
      <c r="K93" s="150" t="s">
        <v>185</v>
      </c>
      <c r="L93" s="153" t="s">
        <v>191</v>
      </c>
      <c r="M93" s="153" t="s">
        <v>198</v>
      </c>
      <c r="N93" s="153" t="s">
        <v>192</v>
      </c>
      <c r="O93" s="153" t="s">
        <v>182</v>
      </c>
      <c r="P93" s="153" t="s">
        <v>184</v>
      </c>
      <c r="Q93" s="150" t="s">
        <v>188</v>
      </c>
      <c r="S93" s="167" t="s">
        <v>1</v>
      </c>
      <c r="T93" s="167" t="s">
        <v>240</v>
      </c>
      <c r="U93" s="167" t="s">
        <v>184</v>
      </c>
      <c r="V93" s="167" t="s">
        <v>188</v>
      </c>
      <c r="AA93" s="158" t="s">
        <v>1</v>
      </c>
      <c r="AB93" s="158" t="s">
        <v>241</v>
      </c>
      <c r="AC93" s="158" t="s">
        <v>184</v>
      </c>
      <c r="AD93" s="158" t="s">
        <v>188</v>
      </c>
      <c r="AG93" s="167" t="s">
        <v>1</v>
      </c>
      <c r="AH93" s="167" t="s">
        <v>242</v>
      </c>
      <c r="AI93" s="167" t="s">
        <v>184</v>
      </c>
      <c r="AJ93" s="167" t="s">
        <v>188</v>
      </c>
      <c r="AM93" s="166" t="s">
        <v>1</v>
      </c>
      <c r="AN93" s="171" t="s">
        <v>213</v>
      </c>
      <c r="AO93" s="166" t="s">
        <v>184</v>
      </c>
      <c r="AP93" s="166" t="s">
        <v>188</v>
      </c>
      <c r="AR93" s="166" t="s">
        <v>1</v>
      </c>
      <c r="AS93" s="171" t="s">
        <v>214</v>
      </c>
      <c r="AT93" s="166" t="s">
        <v>184</v>
      </c>
      <c r="AU93" s="166" t="s">
        <v>188</v>
      </c>
    </row>
    <row r="94" spans="1:47">
      <c r="A94" s="149">
        <f>+CP_2026!B9</f>
        <v>270426</v>
      </c>
      <c r="B94" s="149" t="str">
        <f>+CP_2026!C9</f>
        <v>Pro Intradom 1,25x0,75m Verde</v>
      </c>
      <c r="C94" s="151">
        <v>1.25</v>
      </c>
      <c r="D94" s="95"/>
      <c r="E94" s="95"/>
      <c r="F94" s="151">
        <f>+CP_2026!D9</f>
        <v>2.5499999999999998</v>
      </c>
      <c r="G94" s="151">
        <f>+CP_2026!L9</f>
        <v>16.896000000000001</v>
      </c>
      <c r="H94" s="151">
        <f>+IF($E$81=$I$3,ROUND(G94*(1-$J$3),2),IF($E$81=$I$4,ROUND(G94*(1-$J$4),2),IF($E$81=$I$5,ROUND(G94*(1-$J$5),2),IF($E$81=$I$6,ROUND(G94*(1-$J$6),2),IF($E$81=$I$7,ROUND(G94*(1-$J$7),2),IF($E$81=$I$8,ROUND(G94*(1-$J$8),2),G94))))))</f>
        <v>14.34</v>
      </c>
      <c r="J94" s="149">
        <f>+CP_2026!B11</f>
        <v>270430</v>
      </c>
      <c r="K94" s="149" t="str">
        <f>+CP_2026!C11</f>
        <v>Pro Intradom Kit Poste 1.70 Verde</v>
      </c>
      <c r="L94" s="149"/>
      <c r="M94" s="151"/>
      <c r="N94" s="151">
        <v>1.7</v>
      </c>
      <c r="O94" s="151">
        <f>+CP_2026!D11</f>
        <v>2.3199999999999998</v>
      </c>
      <c r="P94" s="154">
        <f>+CP_2026!L11</f>
        <v>34.85</v>
      </c>
      <c r="Q94" s="156">
        <f>+IF($E$56=$I$3,ROUND(P94*(1-$J$3),2),IF($E$56=$I$4,ROUND(P94*(1-$J$4),2),IF($E$56=$I$5,ROUND(P94*(1-$J$5),2),IF($E$56=$I$6,ROUND(P94*(1-$J$6),2),IF($E$56=$I$7,ROUND(P94*(1-$J$7),2),IF($E$56=$I$8,ROUND(P94*(1-$J$8),2),P94))))))</f>
        <v>29.59</v>
      </c>
      <c r="S94" s="149">
        <f>+CP_2026!B12</f>
        <v>270433</v>
      </c>
      <c r="T94" s="149" t="str">
        <f>+CP_2026!C12</f>
        <v>Pro Intradom Kit Puerta Verde</v>
      </c>
      <c r="U94" s="154">
        <f>+CP_2026!L12</f>
        <v>149.07</v>
      </c>
      <c r="V94" s="154">
        <f>+IF($E$10=$I$3,ROUND(U94*(1-$J$3),2),IF($E$10=$I$4,ROUND(U94*(1-$J$4),2),IF($E$10=$I$5,ROUND(U94*(1-$J$5),2),IF($E$10=$I$6,ROUND(U94*(1-$J$6),2),IF($E$10=$I$7,ROUND(U94*(1-$J$7),2),IF($E$10=$I$8,ROUND(U94*(1-$J$8),2),U94))))))</f>
        <v>126.55</v>
      </c>
      <c r="AA94" s="149">
        <f>+CP_2026!B14</f>
        <v>189158</v>
      </c>
      <c r="AB94" s="149" t="str">
        <f>+CP_2026!C14</f>
        <v>Pro Intradom Set Abrazadera 6Pack Verde</v>
      </c>
      <c r="AC94" s="154">
        <f>+CP_2026!L14</f>
        <v>23.96</v>
      </c>
      <c r="AD94" s="154">
        <f>+IF($E$10=$I$3,ROUND(AC94*(1-$J$3),2),IF($E$10=$I$4,ROUND(AC94*(1-$J$4),2),IF($E$10=$I$5,ROUND(AC94*(1-$J$5),2),IF($E$10=$I$6,ROUND(AC94*(1-$J$6),2),IF($E$10=$I$7,ROUND(AC94*(1-$J$7),2),IF($E$10=$I$8,ROUND(AC94*(1-$J$8),2),AC94))))))</f>
        <v>20.34</v>
      </c>
      <c r="AG94" s="149">
        <f>+CP_2026!B13</f>
        <v>189159</v>
      </c>
      <c r="AH94" s="149" t="str">
        <f>+CP_2026!C13</f>
        <v>Pro Intradom Set Tapa 6Pack Verde</v>
      </c>
      <c r="AI94" s="154">
        <f>+CP_2026!L13</f>
        <v>1.6</v>
      </c>
      <c r="AJ94" s="154">
        <f>+IF($E$10=$I$3,ROUND(AI94*(1-$J$3),2),IF($E$10=$I$4,ROUND(AI94*(1-$J$4),2),IF($E$10=$I$5,ROUND(AI94*(1-$J$5),2),IF($E$10=$I$6,ROUND(AI94*(1-$J$6),2),IF($E$10=$I$7,ROUND(AI94*(1-$J$7),2),IF($E$10=$I$8,ROUND(AI94*(1-$J$8),2),AI94))))))</f>
        <v>1.36</v>
      </c>
      <c r="AM94" s="149">
        <f>+CP_2026!B52</f>
        <v>189205</v>
      </c>
      <c r="AN94" s="149" t="str">
        <f>+CP_2026!C52</f>
        <v>SPRAY VERDE 077 SEYER</v>
      </c>
      <c r="AO94" s="164">
        <f>+CP_2026!L52</f>
        <v>4.2724850099933374</v>
      </c>
      <c r="AP94" s="154">
        <f>+IF($E$10=$I$3,ROUND(AO94*(1-$J$3),2),IF($E$10=$I$4,ROUND(AO94*(1-$J$4),2),IF($E$10=$I$5,ROUND(AO94*(1-$J$5),2),IF($E$10=$I$6,ROUND(AO94*(1-$J$6),2),IF($E$10=$I$7,ROUND(AO94*(1-$J$7),2),IF($E$10=$I$8,ROUND(AO94*(1-$J$8),2),AO94))))))</f>
        <v>3.63</v>
      </c>
      <c r="AR94" s="149">
        <f>+CP_2026!B53</f>
        <v>683471</v>
      </c>
      <c r="AS94" s="149" t="str">
        <f>+CP_2026!C53</f>
        <v>SPRAY GALV FRIO</v>
      </c>
      <c r="AT94" s="164">
        <f>+CP_2026!L53</f>
        <v>37.517039922103216</v>
      </c>
      <c r="AU94" s="154">
        <f>+IF($E$10=$I$3,ROUND(AT94*(1-$J$3),2),IF($E$10=$I$4,ROUND(AT94*(1-$J$4),2),IF($E$10=$I$5,ROUND(AT94*(1-$J$5),2),IF($E$10=$I$6,ROUND(AT94*(1-$J$6),2),IF($E$10=$I$7,ROUND(AT94*(1-$J$7),2),IF($E$10=$I$8,ROUND(AT94*(1-$J$8),2),AT94))))))</f>
        <v>31.85</v>
      </c>
    </row>
    <row r="95" spans="1:47">
      <c r="A95" s="149">
        <f>+CP_2026!B10</f>
        <v>270428</v>
      </c>
      <c r="B95" s="149" t="str">
        <f>+CP_2026!C10</f>
        <v>Pro Intradom 1,25x1,50m Verde</v>
      </c>
      <c r="C95" s="95">
        <v>1.25</v>
      </c>
      <c r="D95" s="95"/>
      <c r="E95" s="95"/>
      <c r="F95" s="151">
        <f>+CP_2026!D10</f>
        <v>4.97</v>
      </c>
      <c r="G95" s="432">
        <f>+CP_2026!L10</f>
        <v>32.909999999999997</v>
      </c>
      <c r="H95" s="151">
        <f>+IF($E$81=$I$3,ROUND(G95*(1-$J$3),2),IF($E$81=$I$4,ROUND(G95*(1-$J$4),2),IF($E$81=$I$5,ROUND(G95*(1-$J$5),2),IF($E$81=$I$6,ROUND(G95*(1-$J$6),2),IF($E$81=$I$7,ROUND(G95*(1-$J$7),2),IF($E$81=$I$8,ROUND(G95*(1-$J$8),2),G95))))))</f>
        <v>27.94</v>
      </c>
    </row>
    <row r="96" spans="1:47" s="148" customFormat="1"/>
    <row r="98" spans="1:16">
      <c r="A98" s="93" t="s">
        <v>126</v>
      </c>
      <c r="M98" s="93"/>
      <c r="N98" s="93"/>
      <c r="O98" s="93"/>
      <c r="P98" s="93"/>
    </row>
    <row r="99" spans="1:16">
      <c r="A99" s="93"/>
    </row>
    <row r="100" spans="1:16">
      <c r="A100" s="93" t="s">
        <v>185</v>
      </c>
      <c r="B100" s="92" t="s">
        <v>160</v>
      </c>
      <c r="E100" t="s">
        <v>139</v>
      </c>
      <c r="G100" s="176" t="s">
        <v>128</v>
      </c>
    </row>
    <row r="101" spans="1:16">
      <c r="A101" t="s">
        <v>138</v>
      </c>
      <c r="B101" s="95">
        <f>+Ingreso!D22</f>
        <v>130</v>
      </c>
      <c r="D101" t="s">
        <v>181</v>
      </c>
      <c r="E101" s="149"/>
      <c r="G101" s="95">
        <v>2.1</v>
      </c>
    </row>
    <row r="102" spans="1:16">
      <c r="A102" t="s">
        <v>179</v>
      </c>
      <c r="B102" s="95">
        <f>ROUNDUP((B101/2.4),0)</f>
        <v>55</v>
      </c>
      <c r="D102" t="s">
        <v>140</v>
      </c>
      <c r="E102" s="151"/>
      <c r="G102" s="95">
        <v>2.4500000000000002</v>
      </c>
    </row>
    <row r="103" spans="1:16">
      <c r="A103" t="s">
        <v>142</v>
      </c>
      <c r="B103" s="95">
        <f>+E104</f>
        <v>56</v>
      </c>
      <c r="D103" t="s">
        <v>141</v>
      </c>
      <c r="E103" s="226"/>
      <c r="G103" s="95">
        <v>3</v>
      </c>
    </row>
    <row r="104" spans="1:16">
      <c r="A104" t="s">
        <v>132</v>
      </c>
      <c r="B104" s="95">
        <f>+B103</f>
        <v>56</v>
      </c>
      <c r="D104" t="s">
        <v>142</v>
      </c>
      <c r="E104" s="95">
        <f>ROUND(IF(D11="n",(B102+1),(B102+1)*(1+E110)),0)</f>
        <v>56</v>
      </c>
    </row>
    <row r="105" spans="1:16">
      <c r="A105" t="s">
        <v>133</v>
      </c>
      <c r="B105" s="95">
        <f>+B103*8</f>
        <v>448</v>
      </c>
    </row>
    <row r="106" spans="1:16">
      <c r="A106" t="s">
        <v>134</v>
      </c>
      <c r="B106" s="95">
        <f>+B105</f>
        <v>448</v>
      </c>
      <c r="D106" t="s">
        <v>98</v>
      </c>
      <c r="E106" s="220" t="str">
        <f>+Ingreso!H22</f>
        <v>Franquicia</v>
      </c>
    </row>
    <row r="107" spans="1:16">
      <c r="A107" t="s">
        <v>135</v>
      </c>
      <c r="B107" s="95"/>
      <c r="D107" t="s">
        <v>128</v>
      </c>
      <c r="E107" s="220">
        <f>+Ingreso!E26</f>
        <v>3</v>
      </c>
    </row>
    <row r="108" spans="1:16">
      <c r="A108" t="s">
        <v>136</v>
      </c>
      <c r="B108" s="95"/>
      <c r="E108" s="97"/>
    </row>
    <row r="109" spans="1:16">
      <c r="A109" s="94" t="s">
        <v>137</v>
      </c>
      <c r="B109" s="95">
        <f>+B103</f>
        <v>56</v>
      </c>
      <c r="E109" s="97"/>
    </row>
    <row r="110" spans="1:16">
      <c r="A110" t="s">
        <v>213</v>
      </c>
      <c r="B110" s="95"/>
      <c r="D110" t="s">
        <v>237</v>
      </c>
      <c r="E110" s="221">
        <f>+Ingreso!D25</f>
        <v>0</v>
      </c>
    </row>
    <row r="111" spans="1:16">
      <c r="A111" t="s">
        <v>214</v>
      </c>
      <c r="B111" s="95">
        <f>+IF(B51&lt;50,1,ROUNDUP(B51/100,0))</f>
        <v>2</v>
      </c>
    </row>
    <row r="112" spans="1:16">
      <c r="A112" t="s">
        <v>391</v>
      </c>
      <c r="B112" s="95">
        <f>ROUNDUP(((B101/2.4)),0)</f>
        <v>55</v>
      </c>
    </row>
    <row r="116" spans="1:47">
      <c r="A116" s="578" t="s">
        <v>244</v>
      </c>
      <c r="B116" s="578"/>
      <c r="C116" s="578"/>
      <c r="D116" s="578"/>
      <c r="E116" s="578"/>
      <c r="F116" s="578"/>
      <c r="G116" s="578"/>
      <c r="H116" s="578"/>
      <c r="J116" s="579" t="s">
        <v>239</v>
      </c>
      <c r="K116" s="579"/>
      <c r="L116" s="579"/>
      <c r="M116" s="579"/>
      <c r="N116" s="579"/>
      <c r="O116" s="579"/>
      <c r="P116" s="579"/>
      <c r="Q116" s="579"/>
      <c r="S116" s="575" t="s">
        <v>208</v>
      </c>
      <c r="T116" s="575"/>
      <c r="U116" s="575"/>
      <c r="V116" s="575"/>
      <c r="AA116" s="575" t="s">
        <v>199</v>
      </c>
      <c r="AB116" s="575"/>
      <c r="AC116" s="575"/>
      <c r="AD116" s="575"/>
      <c r="AG116" s="575" t="s">
        <v>246</v>
      </c>
      <c r="AH116" s="575"/>
      <c r="AI116" s="575"/>
      <c r="AJ116" s="575"/>
      <c r="AM116" s="575" t="s">
        <v>247</v>
      </c>
      <c r="AN116" s="575"/>
      <c r="AO116" s="575"/>
      <c r="AP116" s="575"/>
      <c r="AR116" s="568" t="str">
        <f>+AS119</f>
        <v>Spray Galvanizado</v>
      </c>
      <c r="AS116" s="569"/>
      <c r="AT116" s="569"/>
      <c r="AU116" s="569"/>
    </row>
    <row r="117" spans="1:47">
      <c r="A117" s="152">
        <f>+IF(C117=C120,A120,IF(C117=C121,A121,IF(C117=C122,A122)))</f>
        <v>270436</v>
      </c>
      <c r="B117" s="152" t="str">
        <f>+VLOOKUP(A117,A119:H122,2,TRUE)</f>
        <v>Pro Max Seguridad 3,00x2,4m GRIS</v>
      </c>
      <c r="C117" s="152">
        <f>+E107</f>
        <v>3</v>
      </c>
      <c r="D117" s="152" t="b">
        <f>+IF(C117=M84,D120,IF(C117=M85,D121,IF(C117=M87,#REF!,IF(C117=M88,#REF!,IF(C117=M89,#REF!)))))</f>
        <v>0</v>
      </c>
      <c r="E117" s="152" t="b">
        <f>+IF(C117=M84,E120,IF(C117=M85,E121,IF(C117=M87,#REF!,IF(C117=M88,#REF!,IF(C117=M89,#REF!)))))</f>
        <v>0</v>
      </c>
      <c r="F117" s="152" t="b">
        <f>+IF(C117=M84,F120,IF(C117=M85,F121,IF(C117=M87,#REF!,IF(C117=M88,#REF!,IF(C117=M89,#REF!)))))</f>
        <v>0</v>
      </c>
      <c r="G117" s="155">
        <f>+VLOOKUP(A117,A119:H122,7,TRUE)</f>
        <v>405.9</v>
      </c>
      <c r="H117" s="155">
        <f>+VLOOKUP(A117,A119:H122,8,TRUE)</f>
        <v>344.59</v>
      </c>
      <c r="J117" s="152">
        <f>+IF(C117=C120,J120,IF(C117=C121,J121,IF(C117=C122,J122)))</f>
        <v>270439</v>
      </c>
      <c r="K117" s="152" t="str">
        <f>+VLOOKUP(J117,J119:Q122,2,TRUE)</f>
        <v>Pro Max Seguridad Kit Poste 100x50x2 3,60m GRIS</v>
      </c>
      <c r="L117" s="152" t="str">
        <f>+VLOOKUP(J117,J119:Q122,3,TRUE)</f>
        <v>100 X 50</v>
      </c>
      <c r="M117" s="152"/>
      <c r="N117" s="157">
        <f>+VLOOKUP(J117,J119:Q122,5,TRUE)</f>
        <v>3.6</v>
      </c>
      <c r="O117" s="152">
        <f>+VLOOKUP(J117,J119:Q122,6,TRUE)</f>
        <v>18.399999999999999</v>
      </c>
      <c r="P117" s="155">
        <f>+VLOOKUP(J117,J119:Q122,7,TRUE)</f>
        <v>103.5</v>
      </c>
      <c r="Q117" s="155">
        <f>+VLOOKUP(J117,J119:Q122,8,TRUE)</f>
        <v>87.87</v>
      </c>
      <c r="S117" s="149">
        <f>+S120</f>
        <v>270440</v>
      </c>
      <c r="T117" s="149" t="str">
        <f>+T120</f>
        <v>Pro Max Seguridad Tapa PVC Gris 100x50x2 Bekaert</v>
      </c>
      <c r="U117" s="154">
        <f>+U120</f>
        <v>2.42</v>
      </c>
      <c r="V117" s="154">
        <f>+V120</f>
        <v>2.0499999999999998</v>
      </c>
      <c r="AA117" s="149">
        <f>+AA120</f>
        <v>645392</v>
      </c>
      <c r="AB117" s="149" t="str">
        <f>+AB120</f>
        <v>Pro Max Seguridad Fijación 40x40x11x3 paso 12,7 mm GRIS</v>
      </c>
      <c r="AC117" s="154">
        <f>+AC120</f>
        <v>2.2799999999999998</v>
      </c>
      <c r="AD117" s="154">
        <f>+AD120</f>
        <v>1.94</v>
      </c>
      <c r="AG117" s="149">
        <f>+AG120</f>
        <v>645393</v>
      </c>
      <c r="AH117" s="149" t="str">
        <f>+AH120</f>
        <v>Perno coche 1/4"X5" INOX 316 CHN</v>
      </c>
      <c r="AI117" s="154">
        <f>+AI120</f>
        <v>1.1599999999999999</v>
      </c>
      <c r="AJ117" s="154">
        <f>+AJ120</f>
        <v>0.98</v>
      </c>
      <c r="AM117" s="149">
        <f>+AM120</f>
        <v>270504</v>
      </c>
      <c r="AN117" s="149" t="str">
        <f>+AN120</f>
        <v>Tuerca Seg.Emb.Autor.INOX 1/4 X19mm</v>
      </c>
      <c r="AO117" s="154">
        <f>+AO120</f>
        <v>2.5</v>
      </c>
      <c r="AP117" s="154">
        <f>+AP120</f>
        <v>2.12</v>
      </c>
      <c r="AR117" s="159">
        <f>+AR120</f>
        <v>683471</v>
      </c>
      <c r="AS117" s="159" t="str">
        <f>+AS120</f>
        <v>SPRAY GALV FRIO</v>
      </c>
      <c r="AT117" s="164">
        <f>+AT120</f>
        <v>37.517039922103216</v>
      </c>
      <c r="AU117" s="164">
        <f>+AU120</f>
        <v>31.85</v>
      </c>
    </row>
    <row r="119" spans="1:47">
      <c r="A119" s="150" t="s">
        <v>1</v>
      </c>
      <c r="B119" s="150" t="s">
        <v>185</v>
      </c>
      <c r="C119" s="150" t="s">
        <v>183</v>
      </c>
      <c r="D119" s="150" t="s">
        <v>186</v>
      </c>
      <c r="E119" s="150" t="s">
        <v>187</v>
      </c>
      <c r="F119" s="150" t="s">
        <v>182</v>
      </c>
      <c r="G119" s="192" t="s">
        <v>218</v>
      </c>
      <c r="H119" s="150" t="s">
        <v>188</v>
      </c>
      <c r="J119" s="150" t="s">
        <v>1</v>
      </c>
      <c r="K119" s="150" t="s">
        <v>185</v>
      </c>
      <c r="L119" s="153" t="s">
        <v>191</v>
      </c>
      <c r="M119" s="153" t="s">
        <v>198</v>
      </c>
      <c r="N119" s="153" t="s">
        <v>192</v>
      </c>
      <c r="O119" s="153" t="s">
        <v>182</v>
      </c>
      <c r="P119" s="153" t="s">
        <v>184</v>
      </c>
      <c r="Q119" s="150" t="s">
        <v>188</v>
      </c>
      <c r="S119" s="167" t="s">
        <v>1</v>
      </c>
      <c r="T119" s="167" t="s">
        <v>208</v>
      </c>
      <c r="U119" s="167" t="s">
        <v>184</v>
      </c>
      <c r="V119" s="167" t="s">
        <v>188</v>
      </c>
      <c r="AA119" s="167" t="s">
        <v>1</v>
      </c>
      <c r="AB119" s="167" t="s">
        <v>199</v>
      </c>
      <c r="AC119" s="167" t="s">
        <v>184</v>
      </c>
      <c r="AD119" s="167" t="s">
        <v>188</v>
      </c>
      <c r="AG119" s="167" t="s">
        <v>1</v>
      </c>
      <c r="AH119" s="167" t="s">
        <v>246</v>
      </c>
      <c r="AI119" s="167" t="s">
        <v>184</v>
      </c>
      <c r="AJ119" s="167" t="s">
        <v>188</v>
      </c>
      <c r="AM119" s="167" t="s">
        <v>1</v>
      </c>
      <c r="AN119" s="167" t="s">
        <v>205</v>
      </c>
      <c r="AO119" s="167" t="s">
        <v>184</v>
      </c>
      <c r="AP119" s="167" t="s">
        <v>188</v>
      </c>
      <c r="AR119" s="166" t="s">
        <v>1</v>
      </c>
      <c r="AS119" s="171" t="s">
        <v>214</v>
      </c>
      <c r="AT119" s="166" t="s">
        <v>184</v>
      </c>
      <c r="AU119" s="166" t="s">
        <v>188</v>
      </c>
    </row>
    <row r="120" spans="1:47">
      <c r="A120" s="149">
        <f>+CP_2026!B78</f>
        <v>270434</v>
      </c>
      <c r="B120" s="149" t="str">
        <f>+CP_2026!C78</f>
        <v>Pro Max Seguridad 2,10x2,4m GRIS</v>
      </c>
      <c r="C120" s="151">
        <v>2.1</v>
      </c>
      <c r="D120" s="95"/>
      <c r="E120" s="95"/>
      <c r="F120" s="151">
        <f>+CP_2026!D78</f>
        <v>51.62</v>
      </c>
      <c r="G120" s="154">
        <f>+CP_2026!L78</f>
        <v>304.43</v>
      </c>
      <c r="H120" s="154">
        <f>+IF($E$106=$I$3,ROUND(G120*(1-$J$3),2),IF($E$106=$I$4,ROUND(G120*(1-$J$4),2),IF($E$106=$I$5,ROUND(G120*(1-$J$5),2),IF($E$106=$I$6,ROUND(G120*(1-$J$6),2),IF($E$106=$I$7,ROUND(G120*(1-$J$7),2),IF($E$106=$I$8,ROUND(G120*(1-$J$8),2),G120))))))</f>
        <v>258.45</v>
      </c>
      <c r="J120" s="149">
        <f>+CP_2026!B81</f>
        <v>270437</v>
      </c>
      <c r="K120" s="149" t="str">
        <f>+CP_2026!C81</f>
        <v>Pro Max Seguridad Kit Poste 100x50x2 2,60m GRIS</v>
      </c>
      <c r="L120" s="149" t="s">
        <v>245</v>
      </c>
      <c r="M120" s="151"/>
      <c r="N120" s="151">
        <v>2.6</v>
      </c>
      <c r="O120" s="151">
        <f>+CP_2026!D81</f>
        <v>13.79</v>
      </c>
      <c r="P120" s="154">
        <f>+CP_2026!L81</f>
        <v>143.6</v>
      </c>
      <c r="Q120" s="154">
        <f>+IF($E$106=$I$3,ROUND(P120*(1-$J$3),2),IF($E$106=$I$4,ROUND(P120*(1-$J$4),2),IF($E$106=$I$5,ROUND(P120*(1-$J$5),2),IF($E$106=$I$6,ROUND(P120*(1-$J$6),2),IF($E$106=$I$7,ROUND(P120*(1-$J$7),2),IF($E$106=$I$8,ROUND(P120*(1-$J$8),2),P120))))))</f>
        <v>121.91</v>
      </c>
      <c r="S120" s="149">
        <f>+CP_2026!B84</f>
        <v>270440</v>
      </c>
      <c r="T120" s="149" t="str">
        <f>+CP_2026!C84</f>
        <v>Pro Max Seguridad Tapa PVC Gris 100x50x2 Bekaert</v>
      </c>
      <c r="U120" s="154">
        <f>+CP_2026!L84</f>
        <v>2.42</v>
      </c>
      <c r="V120" s="154">
        <f>+IF($E$10=$I$3,ROUND(U120*(1-$J$3),2),IF($E$10=$I$4,ROUND(U120*(1-$J$4),2),IF($E$10=$I$5,ROUND(U120*(1-$J$5),2),IF($E$10=$I$6,ROUND(U120*(1-$J$6),2),IF($E$10=$I$7,ROUND(U120*(1-$J$7),2),IF($E$10=$I$8,ROUND(U120*(1-$J$8),2),U120))))))</f>
        <v>2.0499999999999998</v>
      </c>
      <c r="AA120" s="149">
        <f>+CP_2026!B85</f>
        <v>645392</v>
      </c>
      <c r="AB120" s="149" t="str">
        <f>+CP_2026!C85</f>
        <v>Pro Max Seguridad Fijación 40x40x11x3 paso 12,7 mm GRIS</v>
      </c>
      <c r="AC120" s="154">
        <f>+CP_2026!L85</f>
        <v>2.2799999999999998</v>
      </c>
      <c r="AD120" s="154">
        <f>+IF($E$10=$I$3,ROUND(AC120*(1-$J$3),2),IF($E$10=$I$4,ROUND(AC120*(1-$J$4),2),IF($E$10=$I$5,ROUND(AC120*(1-$J$5),2),IF($E$10=$I$6,ROUND(AC120*(1-$J$6),2),IF($E$10=$I$7,ROUND(AC120*(1-$J$7),2),IF($E$10=$I$8,ROUND(AC120*(1-$J$8),2),AC120))))))</f>
        <v>1.94</v>
      </c>
      <c r="AG120" s="149">
        <f>+CP_2026!B86</f>
        <v>645393</v>
      </c>
      <c r="AH120" s="149" t="str">
        <f>+CP_2026!C86</f>
        <v>Perno coche 1/4"X5" INOX 316 CHN</v>
      </c>
      <c r="AI120" s="154">
        <f>+CP_2026!L86</f>
        <v>1.1599999999999999</v>
      </c>
      <c r="AJ120" s="154">
        <f>+IF($E$10=$I$3,ROUND(AI120*(1-$J$3),2),IF($E$10=$I$4,ROUND(AI120*(1-$J$4),2),IF($E$10=$I$5,ROUND(AI120*(1-$J$5),2),IF($E$10=$I$6,ROUND(AI120*(1-$J$6),2),IF($E$10=$I$7,ROUND(AI120*(1-$J$7),2),IF($E$10=$I$8,ROUND(AI120*(1-$J$8),2),AI120))))))</f>
        <v>0.98</v>
      </c>
      <c r="AM120" s="149">
        <f>+CP_2026!B87</f>
        <v>270504</v>
      </c>
      <c r="AN120" s="149" t="str">
        <f>+CP_2026!C87</f>
        <v>Tuerca Seg.Emb.Autor.INOX 1/4 X19mm</v>
      </c>
      <c r="AO120" s="154">
        <f>+CP_2026!L87</f>
        <v>2.5</v>
      </c>
      <c r="AP120" s="154">
        <f>+IF($E$10=$I$3,ROUND(AO120*(1-$J$3),2),IF($E$10=$I$4,ROUND(AO120*(1-$J$4),2),IF($E$10=$I$5,ROUND(AO120*(1-$J$5),2),IF($E$10=$I$6,ROUND(AO120*(1-$J$6),2),IF($E$10=$I$7,ROUND(AO120*(1-$J$7),2),IF($E$10=$I$8,ROUND(AO120*(1-$J$8),2),AO120))))))</f>
        <v>2.12</v>
      </c>
      <c r="AR120" s="149">
        <f>+CP_2026!B53</f>
        <v>683471</v>
      </c>
      <c r="AS120" s="149" t="str">
        <f>+CP_2026!C53</f>
        <v>SPRAY GALV FRIO</v>
      </c>
      <c r="AT120" s="164">
        <f>+CP_2026!L53</f>
        <v>37.517039922103216</v>
      </c>
      <c r="AU120" s="154">
        <f>+IF($E$10=$I$3,ROUND(AT94*(1-$J$3),2),IF($E$10=$I$4,ROUND(AT94*(1-$J$4),2),IF($E$10=$I$5,ROUND(AT94*(1-$J$5),2),IF($E$10=$I$6,ROUND(AT94*(1-$J$6),2),IF($E$10=$I$7,ROUND(AT94*(1-$J$7),2),IF($E$10=$I$8,ROUND(AT94*(1-$J$8),2),AT94))))))</f>
        <v>31.85</v>
      </c>
    </row>
    <row r="121" spans="1:47">
      <c r="A121" s="149">
        <f>+CP_2026!B79</f>
        <v>270435</v>
      </c>
      <c r="B121" s="149" t="str">
        <f>+CP_2026!C79</f>
        <v>Pro Max Seguridad 2,45x2,4m GRIS</v>
      </c>
      <c r="C121" s="151">
        <v>2.4500000000000002</v>
      </c>
      <c r="D121" s="95"/>
      <c r="E121" s="95"/>
      <c r="F121" s="151">
        <f>+CP_2026!D79</f>
        <v>58.56</v>
      </c>
      <c r="G121" s="154">
        <f>+CP_2026!L79</f>
        <v>345.02</v>
      </c>
      <c r="H121" s="154">
        <f>+IF($E$106=$I$3,ROUND(G121*(1-$J$3),2),IF($E$106=$I$4,ROUND(G121*(1-$J$4),2),IF($E$106=$I$5,ROUND(G121*(1-$J$5),2),IF($E$106=$I$6,ROUND(G121*(1-$J$6),2),IF($E$106=$I$7,ROUND(G121*(1-$J$7),2),IF($E$106=$I$8,ROUND(G121*(1-$J$8),2),G121))))))</f>
        <v>292.91000000000003</v>
      </c>
      <c r="J121" s="149">
        <f>+CP_2026!B82</f>
        <v>270438</v>
      </c>
      <c r="K121" s="149" t="str">
        <f>+CP_2026!C82</f>
        <v>Pro Max Seguridad Kit Poste 100x50x2 3,00m GRIS</v>
      </c>
      <c r="L121" s="149" t="s">
        <v>245</v>
      </c>
      <c r="M121" s="151"/>
      <c r="N121" s="151">
        <v>3</v>
      </c>
      <c r="O121" s="151">
        <f>+CP_2026!D82</f>
        <v>14.85</v>
      </c>
      <c r="P121" s="154">
        <f>+CP_2026!L82</f>
        <v>167.71</v>
      </c>
      <c r="Q121" s="154">
        <f>+IF($E$106=$I$3,ROUND(P121*(1-$J$3),2),IF($E$106=$I$4,ROUND(P121*(1-$J$4),2),IF($E$106=$I$5,ROUND(P121*(1-$J$5),2),IF($E$106=$I$6,ROUND(P121*(1-$J$6),2),IF($E$106=$I$7,ROUND(P121*(1-$J$7),2),IF($E$106=$I$8,ROUND(P121*(1-$J$8),2),P121))))))</f>
        <v>142.38</v>
      </c>
    </row>
    <row r="122" spans="1:47">
      <c r="A122" s="149">
        <f>+CP_2026!B80</f>
        <v>270436</v>
      </c>
      <c r="B122" s="149" t="str">
        <f>+CP_2026!C80</f>
        <v>Pro Max Seguridad 3,00x2,4m GRIS</v>
      </c>
      <c r="C122" s="151">
        <v>3</v>
      </c>
      <c r="D122" s="95"/>
      <c r="E122" s="95"/>
      <c r="F122" s="151">
        <f>+CP_2026!D80</f>
        <v>70.319999999999993</v>
      </c>
      <c r="G122" s="154">
        <f>+CP_2026!L80</f>
        <v>405.9</v>
      </c>
      <c r="H122" s="154">
        <f>+IF($E$106=$I$3,ROUND(G122*(1-$J$3),2),IF($E$106=$I$4,ROUND(G122*(1-$J$4),2),IF($E$106=$I$5,ROUND(G122*(1-$J$5),2),IF($E$106=$I$6,ROUND(G122*(1-$J$6),2),IF($E$106=$I$7,ROUND(G122*(1-$J$7),2),IF($E$106=$I$8,ROUND(G122*(1-$J$8),2),G122))))))</f>
        <v>344.59</v>
      </c>
      <c r="J122" s="149">
        <f>+CP_2026!B83</f>
        <v>270439</v>
      </c>
      <c r="K122" s="149" t="str">
        <f>+CP_2026!C83</f>
        <v>Pro Max Seguridad Kit Poste 100x50x2 3,60m GRIS</v>
      </c>
      <c r="L122" s="149" t="s">
        <v>245</v>
      </c>
      <c r="M122" s="151"/>
      <c r="N122" s="151">
        <v>3.6</v>
      </c>
      <c r="O122" s="151">
        <f>+CP_2026!D83</f>
        <v>18.399999999999999</v>
      </c>
      <c r="P122" s="154">
        <f>+CP_2026!L83</f>
        <v>103.5</v>
      </c>
      <c r="Q122" s="154">
        <f>+IF($E$106=$I$3,ROUND(P122*(1-$J$3),2),IF($E$106=$I$4,ROUND(P122*(1-$J$4),2),IF($E$106=$I$5,ROUND(P122*(1-$J$5),2),IF($E$106=$I$6,ROUND(P122*(1-$J$6),2),IF($E$106=$I$7,ROUND(P122*(1-$J$7),2),IF($E$106=$I$8,ROUND(P122*(1-$J$8),2),P122))))))</f>
        <v>87.87</v>
      </c>
    </row>
  </sheetData>
  <mergeCells count="45">
    <mergeCell ref="AR116:AU116"/>
    <mergeCell ref="AM116:AP116"/>
    <mergeCell ref="A90:H90"/>
    <mergeCell ref="J90:Q90"/>
    <mergeCell ref="S90:V90"/>
    <mergeCell ref="AA90:AD90"/>
    <mergeCell ref="A116:H116"/>
    <mergeCell ref="J116:Q116"/>
    <mergeCell ref="S116:V116"/>
    <mergeCell ref="AA116:AD116"/>
    <mergeCell ref="AG116:AJ116"/>
    <mergeCell ref="BB65:BE65"/>
    <mergeCell ref="BG65:BJ65"/>
    <mergeCell ref="BQ65:BS65"/>
    <mergeCell ref="AG90:AJ90"/>
    <mergeCell ref="AM90:AP90"/>
    <mergeCell ref="AR90:AU90"/>
    <mergeCell ref="BL65:BO65"/>
    <mergeCell ref="A65:H65"/>
    <mergeCell ref="J65:Q65"/>
    <mergeCell ref="AA65:AE65"/>
    <mergeCell ref="A35:H35"/>
    <mergeCell ref="J35:Q35"/>
    <mergeCell ref="S35:Y35"/>
    <mergeCell ref="AA39:AA44"/>
    <mergeCell ref="AB39:AB44"/>
    <mergeCell ref="AD39:AD44"/>
    <mergeCell ref="AE39:AE44"/>
    <mergeCell ref="AA35:AE35"/>
    <mergeCell ref="CA35:CD35"/>
    <mergeCell ref="AG65:AK65"/>
    <mergeCell ref="AM65:AP65"/>
    <mergeCell ref="CF35:CH35"/>
    <mergeCell ref="CJ35:CL35"/>
    <mergeCell ref="AG35:AK35"/>
    <mergeCell ref="AM35:AP35"/>
    <mergeCell ref="AR35:AU35"/>
    <mergeCell ref="AW35:AZ35"/>
    <mergeCell ref="BB35:BE35"/>
    <mergeCell ref="BG35:BJ35"/>
    <mergeCell ref="BL35:BO35"/>
    <mergeCell ref="BQ35:BT35"/>
    <mergeCell ref="BV35:BY35"/>
    <mergeCell ref="AR65:AU65"/>
    <mergeCell ref="AW65:AZ6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29C82-63D6-4F8B-A69A-FF3B5A042855}">
  <sheetPr codeName="Hoja7"/>
  <dimension ref="B4:S47"/>
  <sheetViews>
    <sheetView showGridLines="0" topLeftCell="A7" zoomScale="70" zoomScaleNormal="70" workbookViewId="0">
      <selection activeCell="C4" sqref="C4"/>
    </sheetView>
  </sheetViews>
  <sheetFormatPr baseColWidth="10" defaultRowHeight="14.5"/>
  <cols>
    <col min="1" max="1" width="10.36328125" customWidth="1"/>
    <col min="3" max="3" width="24.90625" bestFit="1" customWidth="1"/>
    <col min="6" max="6" width="31.81640625" customWidth="1"/>
    <col min="11" max="19" width="11.54296875" hidden="1" customWidth="1"/>
    <col min="20" max="21" width="11.54296875" customWidth="1"/>
  </cols>
  <sheetData>
    <row r="4" spans="2:17" ht="31.25" customHeight="1">
      <c r="C4" s="247" t="s">
        <v>102</v>
      </c>
      <c r="D4" s="85"/>
      <c r="E4" s="85"/>
      <c r="F4" s="555" t="s">
        <v>120</v>
      </c>
      <c r="G4" s="555"/>
      <c r="H4" s="555"/>
    </row>
    <row r="5" spans="2:17" ht="31.25" customHeight="1">
      <c r="C5" s="85"/>
      <c r="D5" s="85"/>
      <c r="E5" s="85"/>
      <c r="F5" s="88"/>
      <c r="G5" s="88"/>
      <c r="K5" s="93" t="s">
        <v>100</v>
      </c>
    </row>
    <row r="7" spans="2:17">
      <c r="B7" s="557" t="s">
        <v>111</v>
      </c>
      <c r="C7" s="557"/>
      <c r="D7" s="557"/>
      <c r="E7" s="557"/>
      <c r="F7" s="557"/>
      <c r="G7" s="557"/>
      <c r="H7" s="557"/>
      <c r="K7" t="s">
        <v>104</v>
      </c>
      <c r="M7" s="87"/>
      <c r="P7" t="s">
        <v>105</v>
      </c>
      <c r="Q7" s="87"/>
    </row>
    <row r="8" spans="2:17">
      <c r="B8" t="s">
        <v>112</v>
      </c>
      <c r="D8" s="558" t="s">
        <v>352</v>
      </c>
      <c r="E8" s="558"/>
      <c r="F8" s="558"/>
      <c r="G8" s="558"/>
      <c r="H8" s="558"/>
      <c r="I8" s="558"/>
      <c r="K8" t="s">
        <v>106</v>
      </c>
      <c r="M8" s="87"/>
    </row>
    <row r="9" spans="2:17">
      <c r="B9" t="s">
        <v>175</v>
      </c>
      <c r="D9" s="248" t="s">
        <v>352</v>
      </c>
      <c r="E9" s="89"/>
      <c r="F9" s="89"/>
      <c r="G9" s="89"/>
      <c r="H9" s="89"/>
      <c r="I9" s="89"/>
      <c r="M9" s="87"/>
    </row>
    <row r="10" spans="2:17">
      <c r="B10" t="s">
        <v>113</v>
      </c>
      <c r="D10" s="559" t="s">
        <v>178</v>
      </c>
      <c r="E10" s="559"/>
      <c r="F10" s="559"/>
      <c r="G10" s="559"/>
      <c r="H10" s="559"/>
      <c r="I10" s="559"/>
      <c r="K10" t="s">
        <v>107</v>
      </c>
      <c r="M10" s="87"/>
    </row>
    <row r="11" spans="2:17">
      <c r="B11" t="s">
        <v>114</v>
      </c>
      <c r="D11" s="559" t="s">
        <v>176</v>
      </c>
      <c r="E11" s="559"/>
      <c r="F11" s="559"/>
      <c r="G11" s="559"/>
      <c r="H11" s="559"/>
      <c r="I11" s="559"/>
      <c r="K11" t="s">
        <v>108</v>
      </c>
      <c r="M11" s="87"/>
    </row>
    <row r="12" spans="2:17">
      <c r="B12" t="s">
        <v>115</v>
      </c>
      <c r="D12" s="559" t="s">
        <v>119</v>
      </c>
      <c r="E12" s="559"/>
      <c r="F12" s="559"/>
      <c r="G12" s="559"/>
      <c r="H12" s="559"/>
      <c r="I12" s="559"/>
      <c r="K12" t="s">
        <v>109</v>
      </c>
      <c r="M12" s="87"/>
    </row>
    <row r="13" spans="2:17">
      <c r="B13" t="s">
        <v>116</v>
      </c>
      <c r="D13" s="559">
        <v>2222222</v>
      </c>
      <c r="E13" s="559"/>
      <c r="F13" s="559"/>
      <c r="G13" s="559"/>
      <c r="H13" s="559"/>
      <c r="I13" s="559"/>
      <c r="K13" t="s">
        <v>110</v>
      </c>
      <c r="M13" s="87"/>
    </row>
    <row r="14" spans="2:17">
      <c r="B14" t="s">
        <v>117</v>
      </c>
      <c r="D14" s="559" t="s">
        <v>353</v>
      </c>
      <c r="E14" s="559"/>
      <c r="F14" s="559"/>
      <c r="G14" s="559"/>
      <c r="H14" s="559"/>
      <c r="I14" s="559"/>
    </row>
    <row r="15" spans="2:17">
      <c r="B15" t="s">
        <v>177</v>
      </c>
      <c r="D15" s="249">
        <v>44845</v>
      </c>
      <c r="E15" s="90"/>
      <c r="F15" s="90"/>
      <c r="G15" s="90"/>
      <c r="H15" s="90"/>
      <c r="I15" s="90"/>
    </row>
    <row r="18" spans="2:17">
      <c r="K18" s="93" t="s">
        <v>101</v>
      </c>
    </row>
    <row r="19" spans="2:17" ht="15.5">
      <c r="F19" s="86"/>
      <c r="K19" s="556" t="s">
        <v>103</v>
      </c>
      <c r="L19" s="556"/>
      <c r="M19" s="556"/>
      <c r="N19" s="556"/>
      <c r="O19" s="556"/>
      <c r="P19" s="556"/>
      <c r="Q19" s="556"/>
    </row>
    <row r="20" spans="2:17" ht="15.5">
      <c r="B20" s="556" t="s">
        <v>103</v>
      </c>
      <c r="C20" s="556"/>
      <c r="D20" s="556"/>
      <c r="E20" s="556"/>
      <c r="F20" s="556"/>
      <c r="G20" s="556"/>
      <c r="H20" s="556"/>
    </row>
    <row r="21" spans="2:17">
      <c r="M21" s="87"/>
      <c r="Q21" s="87"/>
    </row>
    <row r="22" spans="2:17">
      <c r="B22" t="s">
        <v>104</v>
      </c>
      <c r="D22" s="250">
        <v>100</v>
      </c>
      <c r="G22" t="s">
        <v>105</v>
      </c>
      <c r="H22" s="254" t="s">
        <v>11</v>
      </c>
      <c r="M22" s="87"/>
    </row>
    <row r="23" spans="2:17">
      <c r="B23" t="s">
        <v>106</v>
      </c>
      <c r="D23" s="250" t="s">
        <v>143</v>
      </c>
      <c r="M23" s="87"/>
    </row>
    <row r="24" spans="2:17">
      <c r="B24" s="94" t="s">
        <v>129</v>
      </c>
      <c r="C24" s="94"/>
      <c r="D24" s="251" t="s">
        <v>127</v>
      </c>
      <c r="M24" s="87"/>
    </row>
    <row r="25" spans="2:17">
      <c r="B25" t="s">
        <v>236</v>
      </c>
      <c r="D25" s="252">
        <v>0</v>
      </c>
    </row>
    <row r="26" spans="2:17">
      <c r="B26" t="s">
        <v>130</v>
      </c>
      <c r="D26" s="253">
        <v>2.08</v>
      </c>
      <c r="E26" s="246">
        <v>3</v>
      </c>
      <c r="K26" s="93"/>
    </row>
    <row r="27" spans="2:17">
      <c r="B27" t="s">
        <v>110</v>
      </c>
      <c r="D27" s="250" t="s">
        <v>21</v>
      </c>
    </row>
    <row r="28" spans="2:17" ht="15.5">
      <c r="B28" s="94" t="s">
        <v>123</v>
      </c>
      <c r="C28" s="94"/>
      <c r="D28" s="251"/>
      <c r="F28" s="560" t="s">
        <v>219</v>
      </c>
      <c r="G28" s="561"/>
      <c r="H28" s="255">
        <v>0</v>
      </c>
      <c r="K28" s="556"/>
      <c r="L28" s="556"/>
      <c r="M28" s="556"/>
      <c r="N28" s="556"/>
      <c r="O28" s="556"/>
      <c r="P28" s="556"/>
      <c r="Q28" s="556"/>
    </row>
    <row r="29" spans="2:17">
      <c r="B29" t="s">
        <v>348</v>
      </c>
      <c r="D29" s="250" t="s">
        <v>143</v>
      </c>
      <c r="F29" s="560" t="s">
        <v>220</v>
      </c>
      <c r="G29" s="561"/>
      <c r="H29" s="255">
        <v>0</v>
      </c>
    </row>
    <row r="33" spans="3:18">
      <c r="K33" t="s">
        <v>104</v>
      </c>
      <c r="M33" s="87"/>
      <c r="P33" t="s">
        <v>105</v>
      </c>
      <c r="Q33" s="87"/>
    </row>
    <row r="34" spans="3:18">
      <c r="M34" s="87"/>
    </row>
    <row r="35" spans="3:18">
      <c r="C35" t="s">
        <v>252</v>
      </c>
      <c r="D35" s="562" t="s">
        <v>266</v>
      </c>
      <c r="E35" s="562"/>
      <c r="F35" s="562"/>
      <c r="M35" s="87"/>
    </row>
    <row r="36" spans="3:18">
      <c r="C36" t="s">
        <v>305</v>
      </c>
      <c r="D36" s="94" t="str">
        <f>+VLOOKUP(D35,'DATOS PARTIDA'!I3:K24,2,FALSE)</f>
        <v>diego.gutierrez@bekaert.com</v>
      </c>
      <c r="E36" s="94"/>
      <c r="F36" s="94"/>
      <c r="M36" s="87"/>
    </row>
    <row r="37" spans="3:18">
      <c r="C37" t="s">
        <v>251</v>
      </c>
      <c r="D37" s="94" t="str">
        <f>+VLOOKUP(D35,Tabla1[#All],3,FALSE)</f>
        <v>+593 993363971</v>
      </c>
      <c r="E37" s="94"/>
      <c r="F37" s="94"/>
      <c r="M37" s="87"/>
    </row>
    <row r="38" spans="3:18">
      <c r="M38" s="87"/>
    </row>
    <row r="40" spans="3:18">
      <c r="K40" s="93" t="s">
        <v>125</v>
      </c>
    </row>
    <row r="41" spans="3:18">
      <c r="P41" s="86"/>
    </row>
    <row r="42" spans="3:18" ht="15.5">
      <c r="L42" s="556" t="s">
        <v>103</v>
      </c>
      <c r="M42" s="556"/>
      <c r="N42" s="556"/>
      <c r="O42" s="556"/>
      <c r="P42" s="556"/>
      <c r="Q42" s="556"/>
      <c r="R42" s="556"/>
    </row>
    <row r="44" spans="3:18">
      <c r="K44" t="s">
        <v>104</v>
      </c>
      <c r="M44" s="87"/>
      <c r="Q44" t="s">
        <v>105</v>
      </c>
      <c r="R44" s="87"/>
    </row>
    <row r="45" spans="3:18">
      <c r="K45" t="s">
        <v>124</v>
      </c>
      <c r="M45" s="87"/>
    </row>
    <row r="46" spans="3:18">
      <c r="K46" t="s">
        <v>109</v>
      </c>
      <c r="M46" s="87"/>
    </row>
    <row r="47" spans="3:18">
      <c r="K47" t="s">
        <v>110</v>
      </c>
      <c r="M47" s="87"/>
    </row>
  </sheetData>
  <mergeCells count="15">
    <mergeCell ref="D12:I12"/>
    <mergeCell ref="F4:H4"/>
    <mergeCell ref="B7:H7"/>
    <mergeCell ref="D8:I8"/>
    <mergeCell ref="D10:I10"/>
    <mergeCell ref="D11:I11"/>
    <mergeCell ref="F29:G29"/>
    <mergeCell ref="D35:F35"/>
    <mergeCell ref="L42:R42"/>
    <mergeCell ref="D13:I13"/>
    <mergeCell ref="D14:I14"/>
    <mergeCell ref="K19:Q19"/>
    <mergeCell ref="B20:H20"/>
    <mergeCell ref="F28:G28"/>
    <mergeCell ref="K28:Q28"/>
  </mergeCells>
  <conditionalFormatting sqref="D22:D27">
    <cfRule type="expression" dxfId="350" priority="7">
      <formula>$C$4="PERIMETRAL"</formula>
    </cfRule>
  </conditionalFormatting>
  <conditionalFormatting sqref="D22 D25:D27">
    <cfRule type="expression" dxfId="349" priority="4">
      <formula>$C$4="MAXIMA SEGURIDAD"</formula>
    </cfRule>
    <cfRule type="expression" dxfId="348" priority="6">
      <formula>$C$4="URBANA"</formula>
    </cfRule>
  </conditionalFormatting>
  <conditionalFormatting sqref="D22 D27:D29">
    <cfRule type="expression" dxfId="347" priority="5">
      <formula>$C$4="INTRADOMICILIARIA"</formula>
    </cfRule>
  </conditionalFormatting>
  <conditionalFormatting sqref="D29">
    <cfRule type="expression" dxfId="346" priority="3">
      <formula>$C$4="PERIMETRAL"</formula>
    </cfRule>
  </conditionalFormatting>
  <conditionalFormatting sqref="D29">
    <cfRule type="expression" dxfId="345" priority="1">
      <formula>$C$4="MAXIMA SEGURIDAD"</formula>
    </cfRule>
    <cfRule type="expression" dxfId="344" priority="2">
      <formula>$C$4="URBANA"</formula>
    </cfRule>
  </conditionalFormatting>
  <dataValidations count="1">
    <dataValidation allowBlank="1" showInputMessage="1" showErrorMessage="1" promptTitle="Terreno Escalonado" prompt="Indicar el porcentaje de la longitud que el terreno esta inclinado." sqref="D25" xr:uid="{3BA9216D-8950-42BD-90E4-F0A0B2A7E87E}"/>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0" r:id="rId4" name="Button 2">
              <controlPr defaultSize="0" print="0" autoFill="0" autoPict="0" macro="[0]!regresarmenuprincipalr">
                <anchor moveWithCells="1" sizeWithCells="1">
                  <from>
                    <xdr:col>2</xdr:col>
                    <xdr:colOff>1612900</xdr:colOff>
                    <xdr:row>39</xdr:row>
                    <xdr:rowOff>6350</xdr:rowOff>
                  </from>
                  <to>
                    <xdr:col>4</xdr:col>
                    <xdr:colOff>266700</xdr:colOff>
                    <xdr:row>40</xdr:row>
                    <xdr:rowOff>120650</xdr:rowOff>
                  </to>
                </anchor>
              </controlPr>
            </control>
          </mc:Choice>
        </mc:AlternateContent>
        <mc:AlternateContent xmlns:mc="http://schemas.openxmlformats.org/markup-compatibility/2006">
          <mc:Choice Requires="x14">
            <control shapeId="37894" r:id="rId5" name="Button 6">
              <controlPr defaultSize="0" print="0" autoFill="0" autoPict="0" macro="[0]!Botón6_Haga_clic_en">
                <anchor moveWithCells="1" sizeWithCells="1">
                  <from>
                    <xdr:col>5</xdr:col>
                    <xdr:colOff>501650</xdr:colOff>
                    <xdr:row>39</xdr:row>
                    <xdr:rowOff>12700</xdr:rowOff>
                  </from>
                  <to>
                    <xdr:col>5</xdr:col>
                    <xdr:colOff>1765300</xdr:colOff>
                    <xdr:row>41</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custom" allowBlank="1" showInputMessage="1" showErrorMessage="1" xr:uid="{F73A40DB-C19F-4F5E-BC4C-4F03F650074B}">
          <x14:formula1>
            <xm:f>+AND(H28&gt;='DATOS PARTIDA'!B27,H28&lt;='DATOS PARTIDA'!C27)</xm:f>
          </x14:formula1>
          <xm:sqref>H28:H29</xm:sqref>
        </x14:dataValidation>
        <x14:dataValidation type="list" allowBlank="1" showInputMessage="1" showErrorMessage="1" xr:uid="{DFFEAB75-748E-409D-9D76-9FCC60A2F0D0}">
          <x14:formula1>
            <xm:f>Calculo!$P$6:$P$7</xm:f>
          </x14:formula1>
          <xm:sqref>D29</xm:sqref>
        </x14:dataValidation>
        <x14:dataValidation type="list" allowBlank="1" showInputMessage="1" showErrorMessage="1" xr:uid="{21D47DA2-A6B5-46D0-8ECA-84E3F9F50712}">
          <x14:formula1>
            <xm:f>'DATOS PARTIDA'!$I$3:$I$47</xm:f>
          </x14:formula1>
          <xm:sqref>D35:F35</xm:sqref>
        </x14:dataValidation>
        <x14:dataValidation type="list" allowBlank="1" showInputMessage="1" showErrorMessage="1" xr:uid="{4FF968F3-5ED5-497B-B52E-2AFFCE0DE59C}">
          <x14:formula1>
            <xm:f>Calculo!$G$101:$G$103</xm:f>
          </x14:formula1>
          <xm:sqref>E26</xm:sqref>
        </x14:dataValidation>
        <x14:dataValidation type="list" allowBlank="1" showInputMessage="1" showErrorMessage="1" xr:uid="{F0ECB668-46B7-4C22-B561-D6914B5F277D}">
          <x14:formula1>
            <xm:f>Calculo!$S$2:$S$3</xm:f>
          </x14:formula1>
          <xm:sqref>D24</xm:sqref>
        </x14:dataValidation>
        <x14:dataValidation type="list" allowBlank="1" showInputMessage="1" showErrorMessage="1" xr:uid="{A301F8E4-C79B-423D-B5B2-3C26712C6AD3}">
          <x14:formula1>
            <xm:f>Calculo!$P$2:$P$3</xm:f>
          </x14:formula1>
          <xm:sqref>D23</xm:sqref>
        </x14:dataValidation>
        <x14:dataValidation type="list" allowBlank="1" showInputMessage="1" showErrorMessage="1" xr:uid="{3C3D113F-75C0-42C6-AF9E-8AA8F0B2C7E3}">
          <x14:formula1>
            <xm:f>Calculo!#REF!</xm:f>
          </x14:formula1>
          <xm:sqref>D27</xm:sqref>
        </x14:dataValidation>
        <x14:dataValidation type="list" allowBlank="1" showInputMessage="1" showErrorMessage="1" xr:uid="{C4C1EEEC-C211-45A0-BC9A-EFF0DFAEB73C}">
          <x14:formula1>
            <xm:f>Calculo!$M$3:$M$8</xm:f>
          </x14:formula1>
          <xm:sqref>D26</xm:sqref>
        </x14:dataValidation>
        <x14:dataValidation type="list" allowBlank="1" showInputMessage="1" showErrorMessage="1" xr:uid="{ED3F7CA4-6476-429C-A6EA-9A5E04DC3DE3}">
          <x14:formula1>
            <xm:f>'DATOS PARTIDA'!$A$16:$A$19</xm:f>
          </x14:formula1>
          <xm:sqref>C4</xm:sqref>
        </x14:dataValidation>
        <x14:dataValidation type="list" allowBlank="1" showInputMessage="1" showErrorMessage="1" xr:uid="{2207D753-0B1B-421A-AA47-CB037F368C84}">
          <x14:formula1>
            <xm:f>'DATOS PARTIDA'!$A$5:$A$11</xm:f>
          </x14:formula1>
          <xm:sqref>H22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6CA3E-3E77-4FAB-9FA7-21FC98E65A92}">
  <sheetPr codeName="Hoja11"/>
  <dimension ref="A1:CL122"/>
  <sheetViews>
    <sheetView zoomScale="85" zoomScaleNormal="85" workbookViewId="0">
      <selection activeCell="A41" sqref="A41:J41"/>
    </sheetView>
  </sheetViews>
  <sheetFormatPr baseColWidth="10" defaultRowHeight="14.5"/>
  <cols>
    <col min="1" max="1" width="17.6328125" customWidth="1"/>
    <col min="2" max="2" width="51.6328125" bestFit="1" customWidth="1"/>
    <col min="3" max="3" width="12.1796875" bestFit="1" customWidth="1"/>
    <col min="4" max="4" width="15.54296875" customWidth="1"/>
    <col min="5" max="5" width="11.6328125" customWidth="1"/>
    <col min="8" max="8" width="16.54296875" customWidth="1"/>
    <col min="10" max="10" width="17" customWidth="1"/>
    <col min="11" max="11" width="44.6328125" bestFit="1" customWidth="1"/>
    <col min="13" max="13" width="14.453125" bestFit="1" customWidth="1"/>
    <col min="15" max="15" width="19.453125" bestFit="1" customWidth="1"/>
    <col min="17" max="17" width="15" bestFit="1" customWidth="1"/>
    <col min="20" max="20" width="38" bestFit="1" customWidth="1"/>
    <col min="25" max="25" width="15" bestFit="1" customWidth="1"/>
    <col min="28" max="28" width="42.453125" customWidth="1"/>
    <col min="31" max="31" width="15" bestFit="1" customWidth="1"/>
    <col min="33" max="33" width="16.453125" customWidth="1"/>
    <col min="34" max="34" width="34.54296875" bestFit="1" customWidth="1"/>
    <col min="35" max="35" width="9.90625" customWidth="1"/>
    <col min="36" max="37" width="14.6328125" customWidth="1"/>
    <col min="38" max="38" width="3.08984375" customWidth="1"/>
    <col min="39" max="39" width="14.6328125" customWidth="1"/>
    <col min="40" max="40" width="35.453125" bestFit="1" customWidth="1"/>
    <col min="41" max="42" width="14.6328125" customWidth="1"/>
    <col min="43" max="43" width="14.6328125" bestFit="1" customWidth="1"/>
    <col min="44" max="44" width="14.6328125" customWidth="1"/>
    <col min="45" max="45" width="29.453125" bestFit="1" customWidth="1"/>
    <col min="46" max="47" width="14.6328125" customWidth="1"/>
    <col min="48" max="48" width="3.54296875" customWidth="1"/>
    <col min="49" max="52" width="14.6328125" customWidth="1"/>
    <col min="53" max="53" width="3.6328125" customWidth="1"/>
    <col min="54" max="54" width="14.6328125" customWidth="1"/>
    <col min="55" max="55" width="24" bestFit="1" customWidth="1"/>
    <col min="56" max="57" width="14.6328125" customWidth="1"/>
    <col min="58" max="58" width="4" customWidth="1"/>
    <col min="59" max="60" width="14.6328125" customWidth="1"/>
    <col min="62" max="62" width="15" bestFit="1" customWidth="1"/>
    <col min="63" max="63" width="4.36328125" customWidth="1"/>
    <col min="65" max="65" width="21.36328125" bestFit="1" customWidth="1"/>
    <col min="67" max="67" width="15" bestFit="1" customWidth="1"/>
    <col min="70" max="70" width="39" bestFit="1" customWidth="1"/>
    <col min="72" max="72" width="15" bestFit="1" customWidth="1"/>
    <col min="75" max="75" width="17.453125" bestFit="1" customWidth="1"/>
    <col min="77" max="77" width="15" bestFit="1" customWidth="1"/>
    <col min="80" max="80" width="22.6328125" bestFit="1" customWidth="1"/>
    <col min="82" max="82" width="15" bestFit="1" customWidth="1"/>
    <col min="85" max="85" width="19.08984375" bestFit="1" customWidth="1"/>
    <col min="87" max="87" width="15" bestFit="1" customWidth="1"/>
    <col min="89" max="89" width="15.1796875" bestFit="1" customWidth="1"/>
    <col min="91" max="91" width="15" bestFit="1" customWidth="1"/>
  </cols>
  <sheetData>
    <row r="1" spans="1:30">
      <c r="A1" s="93" t="s">
        <v>100</v>
      </c>
      <c r="M1" s="93"/>
      <c r="N1" s="93"/>
      <c r="O1" s="93"/>
      <c r="P1" s="93"/>
    </row>
    <row r="2" spans="1:30">
      <c r="A2" s="93"/>
      <c r="I2" s="174" t="s">
        <v>189</v>
      </c>
      <c r="J2" s="168" t="s">
        <v>190</v>
      </c>
      <c r="K2" s="175" t="s">
        <v>99</v>
      </c>
      <c r="M2" s="176" t="s">
        <v>128</v>
      </c>
      <c r="N2" s="92"/>
      <c r="O2" s="176" t="s">
        <v>180</v>
      </c>
      <c r="P2" s="95" t="s">
        <v>127</v>
      </c>
      <c r="R2" s="176" t="s">
        <v>211</v>
      </c>
      <c r="S2" s="95" t="s">
        <v>127</v>
      </c>
      <c r="U2" s="176">
        <f>+B11</f>
        <v>300</v>
      </c>
      <c r="V2" s="95" t="s">
        <v>229</v>
      </c>
      <c r="W2" s="204"/>
      <c r="X2" s="204"/>
      <c r="Y2" s="204"/>
    </row>
    <row r="3" spans="1:30">
      <c r="A3" s="93" t="s">
        <v>185</v>
      </c>
      <c r="B3" s="92" t="s">
        <v>160</v>
      </c>
      <c r="E3" t="s">
        <v>139</v>
      </c>
      <c r="G3" t="s">
        <v>180</v>
      </c>
      <c r="I3" s="87" t="s">
        <v>5</v>
      </c>
      <c r="J3" s="173">
        <f>+CP_2026!F7</f>
        <v>0.2</v>
      </c>
      <c r="K3" s="95" t="s">
        <v>100</v>
      </c>
      <c r="L3">
        <v>3</v>
      </c>
      <c r="M3" s="95">
        <f>+IF(Ingresar!$C$4="PERIMETRAL",Calcular!M14,+IF(Ingresar!$C$4="URBANA",N14,+IF(Ingresar!$C$4="INTRADOMICILIARIA",O14,+IF(Ingresar!$C$4="MAXIMA SEGURIDAD",P14))))</f>
        <v>1.25</v>
      </c>
      <c r="P3" s="95" t="s">
        <v>143</v>
      </c>
      <c r="S3" s="95" t="s">
        <v>143</v>
      </c>
      <c r="U3" s="204"/>
      <c r="V3" s="204"/>
      <c r="W3" s="204"/>
      <c r="X3" s="204"/>
      <c r="Y3" s="204"/>
    </row>
    <row r="4" spans="1:30">
      <c r="A4" t="s">
        <v>138</v>
      </c>
      <c r="B4" s="95">
        <f>+Ingresar!D22</f>
        <v>100</v>
      </c>
      <c r="D4" t="s">
        <v>181</v>
      </c>
      <c r="E4" s="95" t="e">
        <f>+L36</f>
        <v>#N/A</v>
      </c>
      <c r="G4" s="95" t="e">
        <f>+U36</f>
        <v>#N/A</v>
      </c>
      <c r="I4" s="87" t="s">
        <v>6</v>
      </c>
      <c r="J4" s="173">
        <f>+CP_2026!G7</f>
        <v>0.185</v>
      </c>
      <c r="K4" s="95" t="s">
        <v>101</v>
      </c>
      <c r="L4">
        <v>4</v>
      </c>
      <c r="M4" s="95">
        <f>+IF(Ingresar!$C$4="PERIMETRAL",Calcular!M15,+IF(Ingresar!$C$4="URBANA",N15,+IF(Ingresar!$C$4="INTRADOMICILIARIA",O15,+IF(Ingresar!$C$4="MAXIMA SEGURIDAD",P15))))</f>
        <v>0</v>
      </c>
      <c r="U4" s="204"/>
      <c r="V4" s="95" t="s">
        <v>230</v>
      </c>
      <c r="W4" s="95" t="s">
        <v>230</v>
      </c>
      <c r="X4" s="95" t="s">
        <v>230</v>
      </c>
      <c r="Y4" s="95" t="s">
        <v>230</v>
      </c>
    </row>
    <row r="5" spans="1:30">
      <c r="A5" t="s">
        <v>179</v>
      </c>
      <c r="B5" s="95">
        <f>ROUNDUP(((B4/2.5)+(B4/2.5)*(E14)),0)</f>
        <v>40</v>
      </c>
      <c r="D5" t="s">
        <v>140</v>
      </c>
      <c r="E5" s="151" t="e">
        <f>+N36</f>
        <v>#N/A</v>
      </c>
      <c r="G5" s="95" t="e">
        <f>+V36</f>
        <v>#N/A</v>
      </c>
      <c r="I5" s="87" t="s">
        <v>7</v>
      </c>
      <c r="J5" s="173">
        <f>+CP_2026!H7</f>
        <v>0.17499999999999999</v>
      </c>
      <c r="K5" s="95" t="s">
        <v>102</v>
      </c>
      <c r="M5" s="95">
        <f>+IF(Ingresar!$C$4="PERIMETRAL",Calcular!M16,+IF(Ingresar!$C$4="URBANA",N16,+IF(Ingresar!$C$4="INTRADOMICILIARIA",O16,+IF(Ingresar!$C$4="MAXIMA SEGURIDAD",P16))))</f>
        <v>0</v>
      </c>
      <c r="U5" s="204"/>
      <c r="V5" s="95">
        <v>500</v>
      </c>
      <c r="W5" s="95">
        <v>400</v>
      </c>
      <c r="X5" s="95">
        <v>300</v>
      </c>
      <c r="Y5" s="95">
        <v>200</v>
      </c>
    </row>
    <row r="6" spans="1:30">
      <c r="A6" t="s">
        <v>142</v>
      </c>
      <c r="B6" s="95">
        <f>+B5+1</f>
        <v>41</v>
      </c>
      <c r="D6" t="s">
        <v>141</v>
      </c>
      <c r="E6" s="147"/>
      <c r="G6" s="147"/>
      <c r="I6" s="87" t="s">
        <v>8</v>
      </c>
      <c r="J6" s="173">
        <f>+CP_2026!I7</f>
        <v>0.17499999999999999</v>
      </c>
      <c r="K6" s="95" t="s">
        <v>126</v>
      </c>
      <c r="L6">
        <v>6</v>
      </c>
      <c r="M6" s="95">
        <f>+IF(Ingresar!$C$4="PERIMETRAL",Calcular!M17,+IF(Ingresar!$C$4="URBANA",N17,+IF(Ingresar!$C$4="INTRADOMICILIARIA",O17,+IF(Ingresar!$C$4="MAXIMA SEGURIDAD",P17))))</f>
        <v>0</v>
      </c>
      <c r="O6" s="176" t="s">
        <v>350</v>
      </c>
      <c r="P6" s="95" t="s">
        <v>127</v>
      </c>
      <c r="U6" s="204"/>
      <c r="V6" s="95"/>
      <c r="W6" s="95">
        <f>IF((V5*V7)&gt;U2,0,(U2-(V5*V7)))</f>
        <v>300</v>
      </c>
      <c r="X6" s="95">
        <f>IF((W5*W7)&gt;W6,0,(W6-(W5*W7)))</f>
        <v>300</v>
      </c>
      <c r="Y6" s="95">
        <f>IF((X5*X7)&gt;X6,0,(X6-(X5*X7)))</f>
        <v>0</v>
      </c>
    </row>
    <row r="7" spans="1:30">
      <c r="A7" t="s">
        <v>132</v>
      </c>
      <c r="B7" s="95">
        <f>+B6</f>
        <v>41</v>
      </c>
      <c r="D7" t="s">
        <v>142</v>
      </c>
      <c r="E7" s="95">
        <f>+B6</f>
        <v>41</v>
      </c>
      <c r="G7" s="95">
        <f>+E7</f>
        <v>41</v>
      </c>
      <c r="I7" s="87" t="s">
        <v>9</v>
      </c>
      <c r="J7" s="173">
        <f>+CP_2026!J7</f>
        <v>0.15104000000000001</v>
      </c>
      <c r="K7" s="95"/>
      <c r="L7">
        <v>7</v>
      </c>
      <c r="M7" s="95">
        <f>+IF(Ingresar!$C$4="PERIMETRAL",Calcular!M18,+IF(Ingresar!$C$4="URBANA",N18,+IF(Ingresar!$C$4="INTRADOMICILIARIA",O18,+IF(Ingresar!$C$4="MAXIMA SEGURIDAD",P18))))</f>
        <v>0</v>
      </c>
      <c r="O7" s="176" t="s">
        <v>351</v>
      </c>
      <c r="P7" s="95" t="s">
        <v>143</v>
      </c>
      <c r="U7" s="204"/>
      <c r="V7" s="206">
        <f>IF(U2&gt;400,IF(U2/500&lt;1,1,FLOOR((U2/500),1)),0)</f>
        <v>0</v>
      </c>
      <c r="W7" s="206">
        <f>IF(W6&gt;300,IF(W6/400&lt;1,1,FLOOR((W6/400),1)),0)</f>
        <v>0</v>
      </c>
      <c r="X7" s="206">
        <f>IF(X6&gt;200,IF(X6/300&lt;1,1,FLOOR((X6/300),1)),0)</f>
        <v>1</v>
      </c>
      <c r="Y7" s="206">
        <f>IF(Y6/200&lt;1,1,FLOOR((Y6/200),1))</f>
        <v>1</v>
      </c>
    </row>
    <row r="8" spans="1:30">
      <c r="A8" t="s">
        <v>133</v>
      </c>
      <c r="B8" s="95">
        <f>+B6*AC36</f>
        <v>0</v>
      </c>
      <c r="I8" s="87" t="s">
        <v>10</v>
      </c>
      <c r="J8" s="173">
        <f>+CP_2026!K7</f>
        <v>0.05</v>
      </c>
      <c r="K8" s="95"/>
      <c r="L8">
        <v>8</v>
      </c>
      <c r="M8" s="95">
        <f>+IF(Ingresar!$C$4="PERIMETRAL",Calcular!M19,+IF(Ingresar!$C$4="URBANA",N19,+IF(Ingresar!$C$4="INTRADOMICILIARIA",O19,+IF(Ingresar!$C$4="MAXIMA SEGURIDAD",P19))))</f>
        <v>0</v>
      </c>
    </row>
    <row r="9" spans="1:30">
      <c r="A9" t="s">
        <v>134</v>
      </c>
      <c r="B9" s="95">
        <f>IF(E13="n",B8,B8+B6)</f>
        <v>41</v>
      </c>
      <c r="I9" s="87" t="s">
        <v>11</v>
      </c>
      <c r="J9" s="95"/>
      <c r="K9" s="95"/>
      <c r="M9" s="90"/>
      <c r="U9" s="207" t="s">
        <v>231</v>
      </c>
      <c r="V9" s="97">
        <f>+V7*V5+W7*W5+X7*X5+Y7*Y5</f>
        <v>500</v>
      </c>
    </row>
    <row r="10" spans="1:30">
      <c r="A10" t="s">
        <v>135</v>
      </c>
      <c r="B10" s="95">
        <f>IF(E13="s",B6,0)</f>
        <v>41</v>
      </c>
      <c r="D10" t="s">
        <v>98</v>
      </c>
      <c r="E10" s="220" t="str">
        <f>+Ingresar!H22</f>
        <v>PVS</v>
      </c>
      <c r="M10" s="90"/>
      <c r="U10" s="208">
        <v>1</v>
      </c>
      <c r="V10" s="208">
        <v>2</v>
      </c>
      <c r="W10" s="208">
        <v>3</v>
      </c>
      <c r="X10" s="208">
        <v>4</v>
      </c>
      <c r="Y10" s="208">
        <v>5</v>
      </c>
    </row>
    <row r="11" spans="1:30">
      <c r="A11" t="s">
        <v>136</v>
      </c>
      <c r="B11" s="95">
        <f>IF(E13="n",0,B4*3*1)</f>
        <v>300</v>
      </c>
      <c r="D11" t="s">
        <v>128</v>
      </c>
      <c r="E11" s="220">
        <f>+Ingresar!D26</f>
        <v>2.08</v>
      </c>
      <c r="I11" t="s">
        <v>389</v>
      </c>
      <c r="J11" s="471">
        <v>0.15</v>
      </c>
      <c r="U11" s="208"/>
      <c r="V11" s="208">
        <f>CEILING($U$2/V5,1)</f>
        <v>1</v>
      </c>
      <c r="W11" s="208">
        <f>CEILING($U$2/W5,1)</f>
        <v>1</v>
      </c>
      <c r="X11" s="208">
        <f>CEILING($U$2/X5,1)</f>
        <v>1</v>
      </c>
      <c r="Y11" s="208">
        <f>CEILING($U$2/Y5,1)</f>
        <v>2</v>
      </c>
    </row>
    <row r="12" spans="1:30">
      <c r="A12" s="94" t="s">
        <v>137</v>
      </c>
      <c r="B12" s="95">
        <f>+IF(B4&gt;=1200,B6,0)</f>
        <v>0</v>
      </c>
      <c r="D12" t="s">
        <v>180</v>
      </c>
      <c r="E12" s="219" t="str">
        <f>+Ingresar!D23</f>
        <v>N</v>
      </c>
      <c r="U12" s="208">
        <f>V9</f>
        <v>500</v>
      </c>
      <c r="V12" s="208">
        <f>V11*V5</f>
        <v>500</v>
      </c>
      <c r="W12" s="208">
        <f>W11*W5</f>
        <v>400</v>
      </c>
      <c r="X12" s="208">
        <f>X11*X5</f>
        <v>300</v>
      </c>
      <c r="Y12" s="208">
        <f>Y11*Y5</f>
        <v>400</v>
      </c>
    </row>
    <row r="13" spans="1:30">
      <c r="A13" t="s">
        <v>213</v>
      </c>
      <c r="B13" s="95">
        <f>+IF(B4&lt;25,1,ROUNDUP(B4/25,0))</f>
        <v>4</v>
      </c>
      <c r="D13" t="s">
        <v>211</v>
      </c>
      <c r="E13" s="219" t="str">
        <f>+Ingresar!D24</f>
        <v>S</v>
      </c>
      <c r="M13" s="440" t="s">
        <v>100</v>
      </c>
      <c r="N13" s="440" t="s">
        <v>101</v>
      </c>
      <c r="O13" s="440" t="s">
        <v>102</v>
      </c>
      <c r="P13" s="440" t="s">
        <v>126</v>
      </c>
      <c r="U13" s="208">
        <f>U12-$U$2</f>
        <v>200</v>
      </c>
      <c r="V13" s="208">
        <f>V12-$U$2</f>
        <v>200</v>
      </c>
      <c r="W13" s="208">
        <f>W12-$U$2</f>
        <v>100</v>
      </c>
      <c r="X13" s="208">
        <f>X12-$U$2</f>
        <v>0</v>
      </c>
      <c r="Y13" s="208">
        <f>Y12-$U$2</f>
        <v>100</v>
      </c>
    </row>
    <row r="14" spans="1:30">
      <c r="A14" t="s">
        <v>214</v>
      </c>
      <c r="B14" s="95">
        <f>+IF(B4&lt;50,1,ROUNDUP(B4/100,0))</f>
        <v>1</v>
      </c>
      <c r="D14" t="s">
        <v>237</v>
      </c>
      <c r="E14" s="221">
        <f>+Ingreso!D25</f>
        <v>0</v>
      </c>
      <c r="M14" s="87">
        <v>1.1100000000000001</v>
      </c>
      <c r="N14" s="87" t="s">
        <v>386</v>
      </c>
      <c r="O14" s="87">
        <v>1.25</v>
      </c>
      <c r="P14" s="87"/>
    </row>
    <row r="15" spans="1:30">
      <c r="A15" t="s">
        <v>391</v>
      </c>
      <c r="B15" s="95">
        <f>ROUNDUP(((B4/2.5)),0)</f>
        <v>40</v>
      </c>
      <c r="M15" s="87">
        <v>2.08</v>
      </c>
      <c r="N15" s="87">
        <v>2.08</v>
      </c>
      <c r="O15" s="87"/>
      <c r="P15" s="439">
        <v>2.1</v>
      </c>
      <c r="U15" s="204"/>
      <c r="V15" s="204"/>
      <c r="W15" s="204">
        <f>MIN(U13:Y13)</f>
        <v>0</v>
      </c>
      <c r="X15" s="209" t="s">
        <v>230</v>
      </c>
      <c r="Y15" s="209" t="s">
        <v>230</v>
      </c>
      <c r="Z15" s="209" t="s">
        <v>230</v>
      </c>
      <c r="AA15" s="209" t="s">
        <v>230</v>
      </c>
      <c r="AB15" s="211" t="s">
        <v>170</v>
      </c>
      <c r="AC15" s="204"/>
      <c r="AD15" s="204"/>
    </row>
    <row r="16" spans="1:30">
      <c r="A16" s="93"/>
      <c r="M16" s="87"/>
      <c r="N16" s="87"/>
      <c r="O16" s="87"/>
      <c r="P16" s="439"/>
      <c r="U16" s="204"/>
      <c r="V16" s="204"/>
      <c r="W16" s="204"/>
      <c r="X16" s="209">
        <v>500</v>
      </c>
      <c r="Y16" s="209">
        <v>400</v>
      </c>
      <c r="Z16" s="209">
        <v>300</v>
      </c>
      <c r="AA16" s="209">
        <v>200</v>
      </c>
      <c r="AB16" s="212" t="s">
        <v>230</v>
      </c>
      <c r="AC16" s="204"/>
      <c r="AD16" s="204"/>
    </row>
    <row r="17" spans="1:30">
      <c r="A17" s="93"/>
      <c r="B17" s="474"/>
      <c r="M17" s="87">
        <v>2.4</v>
      </c>
      <c r="N17" s="87" t="s">
        <v>386</v>
      </c>
      <c r="O17" s="87"/>
      <c r="P17" s="439">
        <v>2.4</v>
      </c>
      <c r="U17" s="208">
        <f>AD17</f>
        <v>0</v>
      </c>
      <c r="V17" s="208">
        <v>1</v>
      </c>
      <c r="W17" s="209">
        <f>U13</f>
        <v>200</v>
      </c>
      <c r="X17" s="210">
        <f>V7</f>
        <v>0</v>
      </c>
      <c r="Y17" s="210">
        <f>W7</f>
        <v>0</v>
      </c>
      <c r="Z17" s="210">
        <f>X7</f>
        <v>1</v>
      </c>
      <c r="AA17" s="210">
        <f>Y7</f>
        <v>1</v>
      </c>
      <c r="AB17" s="210">
        <f>SUM(X17:AA17)</f>
        <v>2</v>
      </c>
      <c r="AC17" s="210">
        <f>IF(W17=$W$15,AB17,1000000)</f>
        <v>1000000</v>
      </c>
      <c r="AD17" s="208">
        <f>IF(AC17=(MIN($AC$17:$AC$21)),1,0)</f>
        <v>0</v>
      </c>
    </row>
    <row r="18" spans="1:30">
      <c r="A18" s="93"/>
      <c r="B18" s="474"/>
      <c r="M18" s="87">
        <v>3.05</v>
      </c>
      <c r="N18" s="87" t="s">
        <v>386</v>
      </c>
      <c r="O18" s="87"/>
      <c r="P18" s="439">
        <v>3</v>
      </c>
      <c r="U18" s="208">
        <f>AD18</f>
        <v>0</v>
      </c>
      <c r="V18" s="208">
        <v>2</v>
      </c>
      <c r="W18" s="209">
        <f>V13</f>
        <v>200</v>
      </c>
      <c r="X18" s="210">
        <f>V11</f>
        <v>1</v>
      </c>
      <c r="Y18" s="210">
        <v>0</v>
      </c>
      <c r="Z18" s="210">
        <v>0</v>
      </c>
      <c r="AA18" s="210">
        <v>0</v>
      </c>
      <c r="AB18" s="210">
        <f>SUM(X18:AA18)</f>
        <v>1</v>
      </c>
      <c r="AC18" s="210">
        <f>IF(W18=$W$15,AB18,1000000)</f>
        <v>1000000</v>
      </c>
      <c r="AD18" s="208">
        <f>IF(AC18=(MIN($AC$17:$AC$21)),1,0)</f>
        <v>0</v>
      </c>
    </row>
    <row r="19" spans="1:30">
      <c r="A19" s="93"/>
      <c r="B19" s="97"/>
      <c r="M19" s="87">
        <v>4.0199999999999996</v>
      </c>
      <c r="N19" s="87" t="s">
        <v>386</v>
      </c>
      <c r="O19" s="87"/>
      <c r="P19" s="87"/>
      <c r="U19" s="208">
        <f>AD19</f>
        <v>0</v>
      </c>
      <c r="V19" s="208">
        <v>3</v>
      </c>
      <c r="W19" s="209">
        <f>W13</f>
        <v>100</v>
      </c>
      <c r="X19" s="210">
        <v>0</v>
      </c>
      <c r="Y19" s="210">
        <f>W11</f>
        <v>1</v>
      </c>
      <c r="Z19" s="210">
        <v>0</v>
      </c>
      <c r="AA19" s="210">
        <v>0</v>
      </c>
      <c r="AB19" s="210">
        <f>SUM(X19:AA19)</f>
        <v>1</v>
      </c>
      <c r="AC19" s="210">
        <f>IF(W19=$W$15,AB19,1000000)</f>
        <v>1000000</v>
      </c>
      <c r="AD19" s="208">
        <f>IF(AC19=(MIN($AC$17:$AC$21)),1,0)</f>
        <v>0</v>
      </c>
    </row>
    <row r="20" spans="1:30">
      <c r="A20" s="93"/>
      <c r="B20" s="97"/>
      <c r="M20" s="87"/>
      <c r="N20" s="87"/>
      <c r="O20" s="87"/>
      <c r="P20" s="87"/>
      <c r="U20" s="208">
        <f>AD20</f>
        <v>1</v>
      </c>
      <c r="V20" s="208">
        <v>4</v>
      </c>
      <c r="W20" s="209">
        <f>X13</f>
        <v>0</v>
      </c>
      <c r="X20" s="210">
        <v>0</v>
      </c>
      <c r="Y20" s="210">
        <v>0</v>
      </c>
      <c r="Z20" s="210">
        <f>X11</f>
        <v>1</v>
      </c>
      <c r="AA20" s="210">
        <v>0</v>
      </c>
      <c r="AB20" s="210">
        <f>SUM(X20:AA20)</f>
        <v>1</v>
      </c>
      <c r="AC20" s="210">
        <f>IF(W20=$W$15,AB20,1000000)</f>
        <v>1</v>
      </c>
      <c r="AD20" s="208">
        <f>IF(AC20=(MIN($AC$17:$AC$21)),1,0)</f>
        <v>1</v>
      </c>
    </row>
    <row r="21" spans="1:30">
      <c r="A21" s="93"/>
      <c r="B21" s="97"/>
      <c r="U21" s="208">
        <f>AD21</f>
        <v>0</v>
      </c>
      <c r="V21" s="208">
        <v>5</v>
      </c>
      <c r="W21" s="209">
        <f>Y13</f>
        <v>100</v>
      </c>
      <c r="X21" s="210">
        <v>0</v>
      </c>
      <c r="Y21" s="210">
        <v>0</v>
      </c>
      <c r="Z21" s="210">
        <v>0</v>
      </c>
      <c r="AA21" s="210">
        <f>Y11</f>
        <v>2</v>
      </c>
      <c r="AB21" s="210">
        <f>SUM(X21:AA21)</f>
        <v>2</v>
      </c>
      <c r="AC21" s="210">
        <f>IF(W21=$W$15,AB21,1000000)</f>
        <v>1000000</v>
      </c>
      <c r="AD21" s="208">
        <f>IF(AC21=(MIN($AC$17:$AC$21)),1,0)</f>
        <v>0</v>
      </c>
    </row>
    <row r="22" spans="1:30">
      <c r="A22" s="93"/>
      <c r="B22" s="97"/>
    </row>
    <row r="23" spans="1:30">
      <c r="A23" s="93"/>
      <c r="B23" s="97"/>
      <c r="U23" s="213" t="s">
        <v>232</v>
      </c>
      <c r="V23" s="204"/>
      <c r="W23" s="204"/>
      <c r="X23" s="204"/>
      <c r="Y23" s="204"/>
    </row>
    <row r="24" spans="1:30">
      <c r="A24" s="93"/>
      <c r="B24" s="97"/>
      <c r="U24" s="213"/>
      <c r="V24" s="204">
        <f>V27</f>
        <v>0</v>
      </c>
      <c r="W24" s="204">
        <f>W27</f>
        <v>0</v>
      </c>
      <c r="X24" s="204">
        <f>X27</f>
        <v>1</v>
      </c>
      <c r="Y24" s="204">
        <f>Y27</f>
        <v>0</v>
      </c>
    </row>
    <row r="25" spans="1:30">
      <c r="A25" s="93"/>
      <c r="B25" s="97"/>
      <c r="U25" s="204"/>
      <c r="V25" s="209" t="s">
        <v>230</v>
      </c>
      <c r="W25" s="209" t="s">
        <v>230</v>
      </c>
      <c r="X25" s="209" t="s">
        <v>230</v>
      </c>
      <c r="Y25" s="209" t="s">
        <v>230</v>
      </c>
    </row>
    <row r="26" spans="1:30">
      <c r="A26" s="93"/>
      <c r="B26" s="97"/>
      <c r="U26" s="204"/>
      <c r="V26" s="211">
        <v>500</v>
      </c>
      <c r="W26" s="211">
        <v>400</v>
      </c>
      <c r="X26" s="211">
        <v>300</v>
      </c>
      <c r="Y26" s="211">
        <v>200</v>
      </c>
    </row>
    <row r="27" spans="1:30">
      <c r="A27" s="93"/>
      <c r="B27" s="97"/>
      <c r="U27" s="208">
        <v>1</v>
      </c>
      <c r="V27" s="205">
        <f>VLOOKUP($U$27,$U$17:$AC$21,4,FALSE)</f>
        <v>0</v>
      </c>
      <c r="W27" s="205">
        <f>VLOOKUP($U$27,$U$17:$AC$21,5,FALSE)</f>
        <v>0</v>
      </c>
      <c r="X27" s="205">
        <f>VLOOKUP($U$27,$U$17:$AC$21,6,FALSE)</f>
        <v>1</v>
      </c>
      <c r="Y27" s="205">
        <f>VLOOKUP($U$27,$U$17:$AC$21,7,FALSE)</f>
        <v>0</v>
      </c>
    </row>
    <row r="28" spans="1:30">
      <c r="A28" s="93"/>
      <c r="U28" s="204"/>
      <c r="V28" s="214">
        <f>IF(V27=0,0,188057)</f>
        <v>0</v>
      </c>
      <c r="W28" s="214">
        <f>IF(W27=0,0,188055)</f>
        <v>0</v>
      </c>
      <c r="X28" s="214">
        <f>IF(X27=0,0,188051)</f>
        <v>188051</v>
      </c>
      <c r="Y28" s="214">
        <f>IF(Y27=0,0,188053)</f>
        <v>0</v>
      </c>
    </row>
    <row r="29" spans="1:30">
      <c r="A29" s="93"/>
      <c r="U29" s="204"/>
      <c r="V29" s="204"/>
      <c r="W29" s="204"/>
      <c r="X29" s="204"/>
      <c r="Y29" s="204"/>
    </row>
    <row r="30" spans="1:30">
      <c r="A30" s="93"/>
      <c r="U30" s="215" t="s">
        <v>233</v>
      </c>
      <c r="V30" s="216">
        <f>MAX(V28:Y28)</f>
        <v>188051</v>
      </c>
      <c r="W30" s="204"/>
      <c r="X30" s="204"/>
      <c r="Y30" s="204"/>
    </row>
    <row r="31" spans="1:30">
      <c r="A31" s="93"/>
      <c r="U31" s="215" t="s">
        <v>234</v>
      </c>
      <c r="V31" s="216">
        <f>MAX(V27:Y27)</f>
        <v>1</v>
      </c>
      <c r="X31" s="204"/>
      <c r="Y31" s="204"/>
    </row>
    <row r="32" spans="1:30">
      <c r="A32" s="93"/>
      <c r="U32" s="217" t="s">
        <v>235</v>
      </c>
      <c r="V32" s="216">
        <f>HLOOKUP(V31,V24:Y28,3,FALSE)</f>
        <v>300</v>
      </c>
    </row>
    <row r="33" spans="1:90">
      <c r="A33" s="92"/>
      <c r="B33" s="97"/>
      <c r="D33" s="97"/>
      <c r="E33" s="97"/>
    </row>
    <row r="34" spans="1:90">
      <c r="A34" s="93"/>
      <c r="B34" s="93"/>
      <c r="C34" s="93"/>
      <c r="D34" s="93"/>
    </row>
    <row r="35" spans="1:90">
      <c r="A35" s="578" t="s">
        <v>197</v>
      </c>
      <c r="B35" s="578"/>
      <c r="C35" s="578"/>
      <c r="D35" s="578"/>
      <c r="E35" s="578"/>
      <c r="F35" s="578"/>
      <c r="G35" s="578"/>
      <c r="H35" s="578"/>
      <c r="J35" s="579" t="s">
        <v>196</v>
      </c>
      <c r="K35" s="579"/>
      <c r="L35" s="579"/>
      <c r="M35" s="579"/>
      <c r="N35" s="579"/>
      <c r="O35" s="579"/>
      <c r="P35" s="579"/>
      <c r="Q35" s="579"/>
      <c r="S35" s="580" t="s">
        <v>180</v>
      </c>
      <c r="T35" s="580"/>
      <c r="U35" s="580"/>
      <c r="V35" s="580"/>
      <c r="W35" s="580"/>
      <c r="X35" s="580"/>
      <c r="Y35" s="580"/>
      <c r="AA35" s="580" t="s">
        <v>199</v>
      </c>
      <c r="AB35" s="580"/>
      <c r="AC35" s="580"/>
      <c r="AD35" s="580"/>
      <c r="AE35" s="580"/>
      <c r="AG35" s="575" t="s">
        <v>207</v>
      </c>
      <c r="AH35" s="575"/>
      <c r="AI35" s="575"/>
      <c r="AJ35" s="575"/>
      <c r="AK35" s="575"/>
      <c r="AM35" s="575" t="s">
        <v>205</v>
      </c>
      <c r="AN35" s="575"/>
      <c r="AO35" s="575"/>
      <c r="AP35" s="575"/>
      <c r="AR35" s="575" t="s">
        <v>206</v>
      </c>
      <c r="AS35" s="575"/>
      <c r="AT35" s="575"/>
      <c r="AU35" s="575"/>
      <c r="AW35" s="576"/>
      <c r="AX35" s="576"/>
      <c r="AY35" s="576"/>
      <c r="AZ35" s="576"/>
      <c r="BB35" s="575" t="s">
        <v>208</v>
      </c>
      <c r="BC35" s="575"/>
      <c r="BD35" s="575"/>
      <c r="BE35" s="575"/>
      <c r="BG35" s="569" t="s">
        <v>57</v>
      </c>
      <c r="BH35" s="569"/>
      <c r="BI35" s="569"/>
      <c r="BJ35" s="569"/>
      <c r="BL35" s="577" t="s">
        <v>210</v>
      </c>
      <c r="BM35" s="577"/>
      <c r="BN35" s="577"/>
      <c r="BO35" s="577"/>
      <c r="BQ35" s="568" t="str">
        <f>+BR38</f>
        <v>Spray verde</v>
      </c>
      <c r="BR35" s="569"/>
      <c r="BS35" s="569"/>
      <c r="BT35" s="569"/>
      <c r="BV35" s="568" t="str">
        <f>+BW38</f>
        <v>Spray Galvanizado</v>
      </c>
      <c r="BW35" s="569"/>
      <c r="BX35" s="569"/>
      <c r="BY35" s="569"/>
      <c r="CA35" s="568" t="str">
        <f>+CB38</f>
        <v>Perno de anclaje 1/2x4''</v>
      </c>
      <c r="CB35" s="569"/>
      <c r="CC35" s="569"/>
      <c r="CD35" s="569"/>
      <c r="CF35" s="574" t="str">
        <f>+CG38</f>
        <v>Varilla 7.5 mm x 12 m</v>
      </c>
      <c r="CG35" s="574"/>
      <c r="CH35" s="574"/>
      <c r="CJ35" s="574" t="str">
        <f>+CK38</f>
        <v>Motto</v>
      </c>
      <c r="CK35" s="574"/>
      <c r="CL35" s="574"/>
    </row>
    <row r="36" spans="1:90">
      <c r="A36" s="152" t="b">
        <f>+IF(C36=M3,A39,IF(C36=M4,A40,IF(C36=M6,A42,IF(C36=M7,A43,IF(C36=M8,A44)))))</f>
        <v>0</v>
      </c>
      <c r="B36" s="152" t="b">
        <f>+IF(C36=M3,B39,IF(C36=M4,B40,IF(C36=M6,B42,IF(C36=M7,B43,IF(C36=M8,B44)))))</f>
        <v>0</v>
      </c>
      <c r="C36" s="152">
        <f>+E11</f>
        <v>2.08</v>
      </c>
      <c r="D36" s="152" t="b">
        <f>+IF(C36=M3,D39,IF(C36=M4,D40,IF(C36=M6,D42,IF(C36=M7,D43,IF(C36=M8,D44)))))</f>
        <v>0</v>
      </c>
      <c r="E36" s="152" t="b">
        <f>+IF(C36=M3,E39,IF(C36=M4,E40,IF(C36=M6,E42,IF(C36=M7,E43,IF(C36=M8,E44)))))</f>
        <v>0</v>
      </c>
      <c r="F36" s="152" t="b">
        <f>+IF(C36=M3,F39,IF(C36=M4,F40,IF(C36=M6,F42,IF(C36=M7,F43,IF(C36=M8,F44)))))</f>
        <v>0</v>
      </c>
      <c r="G36" s="155" t="b">
        <f>+IF(C36=M3,G39,IF(C36=M4,G40,IF(C36=M6,G42,IF(C36=M7,G43,IF(C36=M8,G44)))))</f>
        <v>0</v>
      </c>
      <c r="H36" s="155" t="b">
        <f>+IF(C36=M3,H39,IF(C36=M4,H40,IF(C36=M6,H42,IF(C36=M7,H43,IF(C36=M8,H44)))))</f>
        <v>0</v>
      </c>
      <c r="J36" s="293" t="b">
        <f>+IF($A$36=A39,J39,IF(A36=A40,J40,IF(A36=A42,J42,IF(A36=A43,J43,IF(A36=A44,J44)))))</f>
        <v>0</v>
      </c>
      <c r="K36" s="290" t="e">
        <f>+VLOOKUP($J$36,$J$39:$Q$44,2,FALSE)</f>
        <v>#N/A</v>
      </c>
      <c r="L36" s="290" t="e">
        <f>+VLOOKUP($J$36,$J$39:$Q$44,3,FALSE)</f>
        <v>#N/A</v>
      </c>
      <c r="M36" s="290" t="e">
        <f>+VLOOKUP($J$36,$J$38:$Q$44,4,FALSE)</f>
        <v>#N/A</v>
      </c>
      <c r="N36" s="291" t="e">
        <f>+VLOOKUP($J$36,$J$38:$Q$44,5,FALSE)</f>
        <v>#N/A</v>
      </c>
      <c r="O36" s="290" t="e">
        <f>+VLOOKUP($J$36,$J$38:$Q$44,6,FALSE)</f>
        <v>#N/A</v>
      </c>
      <c r="P36" s="292" t="e">
        <f>+VLOOKUP($J$36,$J$38:$Q$44,7,FALSE)</f>
        <v>#N/A</v>
      </c>
      <c r="Q36" s="292" t="e">
        <f>+VLOOKUP($J$36,$J$38:$Q$44,8,FALSE)</f>
        <v>#N/A</v>
      </c>
      <c r="S36" s="152" t="b">
        <f>+IF($A$36=A39,S39,IF(A36=A40,S40,IF(A36=A42,S42,IF(A36=A43,S43,IF(A36=A44,S44)))))</f>
        <v>0</v>
      </c>
      <c r="T36" s="152" t="e">
        <f>+VLOOKUP($S$36,$S$38:$Y$44,2,FALSE)</f>
        <v>#N/A</v>
      </c>
      <c r="U36" s="152" t="e">
        <f>+VLOOKUP($S$36,$S$38:$Y$44,3,FALSE)</f>
        <v>#N/A</v>
      </c>
      <c r="V36" s="152" t="e">
        <f>+VLOOKUP($S$36,$S$38:$Y$44,4,FALSE)</f>
        <v>#N/A</v>
      </c>
      <c r="W36" s="152" t="e">
        <f>+VLOOKUP($S$36,$S$38:$Y$44,5,FALSE)</f>
        <v>#N/A</v>
      </c>
      <c r="X36" s="155" t="e">
        <f>+VLOOKUP($S$36,$S$38:$Y$44,6,FALSE)</f>
        <v>#N/A</v>
      </c>
      <c r="Y36" s="155" t="e">
        <f>+VLOOKUP($S$36,$S$38:$Y$44,7,FALSE)</f>
        <v>#N/A</v>
      </c>
      <c r="AA36" s="159">
        <f>+AA39</f>
        <v>272173</v>
      </c>
      <c r="AB36" s="87" t="str">
        <f>+AB39</f>
        <v>Fijación p/perno 1/4" Verde</v>
      </c>
      <c r="AC36" s="95" t="b">
        <f>+IF(A36=A39,AC39,IF(A36=A40,AC40,IF(A36=A42,AC42,IF(A36=A43,AC43,IF(A36=A44,AC44)))))</f>
        <v>0</v>
      </c>
      <c r="AD36" s="164">
        <f>+AD39</f>
        <v>1.1330801687763714</v>
      </c>
      <c r="AE36" s="164">
        <f>+AE39</f>
        <v>1.1330801687763714</v>
      </c>
      <c r="AG36" s="95" t="b">
        <f>+IF($A$36=A39,AG39,IF(A36=A40,AG40,IF(A36=A42,AG42,IF(A36=A43,AG43,IF(A36=A44,AG44)))))</f>
        <v>0</v>
      </c>
      <c r="AH36" s="95" t="e">
        <f>+VLOOKUP($AG$36,$AG$38:$AK$44,2,FALSE)</f>
        <v>#N/A</v>
      </c>
      <c r="AI36" s="95"/>
      <c r="AJ36" s="154" t="e">
        <f>+VLOOKUP($AG$36,$AG$38:$AK$44,4,FALSE)</f>
        <v>#N/A</v>
      </c>
      <c r="AK36" s="154" t="e">
        <f>+VLOOKUP($AG$36,$AG$38:$AK$44,5,FALSE)</f>
        <v>#N/A</v>
      </c>
      <c r="AM36" s="95" t="b">
        <f>+IF($A$36=A39,AM39,IF(A36=A40,AM39,IF(A36=A42,AM39,IF(A36=A43,AM39,IF(A36=A44,AM39)))))</f>
        <v>0</v>
      </c>
      <c r="AN36" s="149" t="str">
        <f>+AN39</f>
        <v>Tuerca Seg.Emb.Autor.INOX 1/4 X19mm</v>
      </c>
      <c r="AO36" s="154">
        <f>+AO39</f>
        <v>2.5</v>
      </c>
      <c r="AP36" s="154">
        <f>+AP39</f>
        <v>2.5</v>
      </c>
      <c r="AR36" s="95" t="b">
        <f>+IF($A$36=A39,AR39,IF(A36=A40,AR39,IF(A36=A42,AR39,IF(A36=A43,AR39,IF(A36=A44,AR39)))))</f>
        <v>0</v>
      </c>
      <c r="AS36" s="149" t="str">
        <f>+AS39</f>
        <v>Perno de anclaje 1/2x4''</v>
      </c>
      <c r="AT36" s="154">
        <f>+AT39</f>
        <v>2.62</v>
      </c>
      <c r="AU36" s="154">
        <f>+AU39</f>
        <v>2.62</v>
      </c>
      <c r="BB36" s="95" t="b">
        <f>+IF($A$36=A39,BB39,IF(A36=A40,BB40,IF(A36=A42,BB42,IF(A36=A43,BB43,IF(A36=A44,BB44)))))</f>
        <v>0</v>
      </c>
      <c r="BC36" s="95" t="e">
        <f>+VLOOKUP(BB36,BB38:BE44,2,0)</f>
        <v>#N/A</v>
      </c>
      <c r="BD36" s="154" t="e">
        <f>+VLOOKUP(BB36,BB38:BE44,3,0)</f>
        <v>#N/A</v>
      </c>
      <c r="BE36" s="154" t="e">
        <f>+VLOOKUP(BB36,BB38:BE44,4,0)</f>
        <v>#N/A</v>
      </c>
      <c r="BG36" s="87" t="b">
        <f>+IF($A$36=A39,BG39,IF(A36=A40,BG39,IF(A36=A42,BG39,IF(A36=A43,BG39,IF(A36=A44,BG39)))))</f>
        <v>0</v>
      </c>
      <c r="BH36" s="159" t="str">
        <f>+BH39</f>
        <v>Fijación Jumbo</v>
      </c>
      <c r="BI36" s="164">
        <f>+BI39</f>
        <v>0.6</v>
      </c>
      <c r="BJ36" s="164">
        <f>+BJ39</f>
        <v>0.6</v>
      </c>
      <c r="BL36" s="159" t="b">
        <f>+IF($A$36=A39,BL39,IF(A36=A40,BL40,IF(A36=A42,BL42,IF(A36=A43,BL43,IF(A36=A44,BL44)))))</f>
        <v>0</v>
      </c>
      <c r="BM36" s="87" t="e">
        <f>+VLOOKUP($BL$36,$BL$38:$BO$44,2)</f>
        <v>#N/A</v>
      </c>
      <c r="BN36" s="87" t="e">
        <f>+VLOOKUP($BL$36,$BL$38:$BO$44,3)</f>
        <v>#N/A</v>
      </c>
      <c r="BO36" s="87" t="e">
        <f>+VLOOKUP($BL$36,$BL$38:$BO$44,4)</f>
        <v>#N/A</v>
      </c>
      <c r="BQ36" s="159">
        <f>+BQ39</f>
        <v>189205</v>
      </c>
      <c r="BR36" s="159" t="str">
        <f>+BR39</f>
        <v>SPRAY VERDE 077 SEYER</v>
      </c>
      <c r="BS36" s="164">
        <f>+BS39</f>
        <v>4.2724850099933374</v>
      </c>
      <c r="BT36" s="164">
        <f>+BT39</f>
        <v>4.2724850099933374</v>
      </c>
      <c r="BV36" s="159">
        <f>+BV39</f>
        <v>683471</v>
      </c>
      <c r="BW36" s="159" t="str">
        <f>+BW39</f>
        <v>SPRAY GALV FRIO</v>
      </c>
      <c r="BX36" s="164">
        <f>+BX39</f>
        <v>37.517039922103216</v>
      </c>
      <c r="BY36" s="164">
        <f>+BY39</f>
        <v>37.517039922103216</v>
      </c>
      <c r="CA36" s="87" t="e">
        <f>+IF($A$36=U39,CA39,IF(U36=U40,BL39,IF(U36=U42,BL39,IF(U36=U43,BL39,IF(U36=U44,BL39)))))</f>
        <v>#N/A</v>
      </c>
      <c r="CB36" s="159" t="str">
        <f>+CB39</f>
        <v>Perno de anclaje 1/2x4''</v>
      </c>
      <c r="CC36" s="164">
        <f>+CC39</f>
        <v>2.62</v>
      </c>
      <c r="CD36" s="164">
        <f>+CD39</f>
        <v>2.62</v>
      </c>
      <c r="CF36" s="87">
        <f>+IF($A$36=Z39,CF39,IF(Z36=Z40,BQ39,IF(Z36=Z42,BQ39,IF(Z36=Z43,BQ39,IF(Z36=Z44,BQ39)))))</f>
        <v>188560</v>
      </c>
      <c r="CG36" s="159" t="str">
        <f>+CG39</f>
        <v>Varilla 7.5 mm x 12 m</v>
      </c>
      <c r="CH36" s="164">
        <f>ROUND(CH39*(1-Ingreso!H29),2)</f>
        <v>7.02</v>
      </c>
      <c r="CJ36" s="87">
        <f>+VLOOKUP(V30,CJ39:CL43,1,FALSE)</f>
        <v>188051</v>
      </c>
      <c r="CK36" s="159" t="str">
        <f>+VLOOKUP($CJ$36,CJ38:CL43,2,FALSE)</f>
        <v>Motto  (azul) 300</v>
      </c>
      <c r="CL36" s="164">
        <f>ROUND(VLOOKUP($CJ$36,$CJ$38:$CL$43,3,FALSE)*(1-Ingreso!H28),2)</f>
        <v>46.15</v>
      </c>
    </row>
    <row r="38" spans="1:90">
      <c r="A38" s="150" t="s">
        <v>1</v>
      </c>
      <c r="B38" s="150" t="s">
        <v>185</v>
      </c>
      <c r="C38" s="150" t="s">
        <v>183</v>
      </c>
      <c r="D38" s="150" t="s">
        <v>186</v>
      </c>
      <c r="E38" s="150" t="s">
        <v>187</v>
      </c>
      <c r="F38" s="150" t="s">
        <v>182</v>
      </c>
      <c r="G38" s="192" t="s">
        <v>218</v>
      </c>
      <c r="H38" s="150" t="s">
        <v>188</v>
      </c>
      <c r="J38" s="150" t="s">
        <v>1</v>
      </c>
      <c r="K38" s="150" t="s">
        <v>185</v>
      </c>
      <c r="L38" s="153" t="s">
        <v>191</v>
      </c>
      <c r="M38" s="153" t="s">
        <v>198</v>
      </c>
      <c r="N38" s="153" t="s">
        <v>192</v>
      </c>
      <c r="O38" s="153" t="s">
        <v>182</v>
      </c>
      <c r="P38" s="153" t="s">
        <v>184</v>
      </c>
      <c r="Q38" s="150" t="s">
        <v>188</v>
      </c>
      <c r="S38" s="150" t="s">
        <v>1</v>
      </c>
      <c r="T38" s="150" t="s">
        <v>185</v>
      </c>
      <c r="U38" s="150" t="s">
        <v>191</v>
      </c>
      <c r="V38" s="150" t="s">
        <v>192</v>
      </c>
      <c r="W38" s="150" t="s">
        <v>182</v>
      </c>
      <c r="X38" s="150" t="s">
        <v>184</v>
      </c>
      <c r="Y38" s="150" t="s">
        <v>188</v>
      </c>
      <c r="AA38" s="150" t="s">
        <v>1</v>
      </c>
      <c r="AB38" s="150" t="s">
        <v>185</v>
      </c>
      <c r="AC38" s="150" t="s">
        <v>200</v>
      </c>
      <c r="AD38" s="150" t="s">
        <v>184</v>
      </c>
      <c r="AE38" s="150" t="s">
        <v>188</v>
      </c>
      <c r="AG38" s="166" t="s">
        <v>1</v>
      </c>
      <c r="AH38" s="165" t="s">
        <v>201</v>
      </c>
      <c r="AI38" s="165" t="s">
        <v>209</v>
      </c>
      <c r="AJ38" s="166" t="s">
        <v>184</v>
      </c>
      <c r="AK38" s="166" t="s">
        <v>188</v>
      </c>
      <c r="AM38" s="167" t="s">
        <v>1</v>
      </c>
      <c r="AN38" s="167" t="s">
        <v>202</v>
      </c>
      <c r="AO38" s="167" t="s">
        <v>184</v>
      </c>
      <c r="AP38" s="167" t="s">
        <v>188</v>
      </c>
      <c r="AR38" s="169" t="s">
        <v>1</v>
      </c>
      <c r="AS38" s="170" t="s">
        <v>203</v>
      </c>
      <c r="AT38" s="169" t="s">
        <v>184</v>
      </c>
      <c r="AU38" s="169" t="s">
        <v>188</v>
      </c>
      <c r="AW38" s="92"/>
      <c r="AX38" s="430"/>
      <c r="AY38" s="92"/>
      <c r="AZ38" s="92"/>
      <c r="BB38" s="166" t="s">
        <v>1</v>
      </c>
      <c r="BC38" s="171" t="s">
        <v>204</v>
      </c>
      <c r="BD38" s="166" t="s">
        <v>184</v>
      </c>
      <c r="BE38" s="166" t="s">
        <v>188</v>
      </c>
      <c r="BG38" s="166" t="s">
        <v>1</v>
      </c>
      <c r="BH38" s="171" t="s">
        <v>57</v>
      </c>
      <c r="BI38" s="166" t="s">
        <v>184</v>
      </c>
      <c r="BJ38" s="166" t="s">
        <v>188</v>
      </c>
      <c r="BL38" s="168" t="s">
        <v>1</v>
      </c>
      <c r="BM38" s="172" t="s">
        <v>210</v>
      </c>
      <c r="BN38" s="168" t="s">
        <v>184</v>
      </c>
      <c r="BO38" s="168" t="s">
        <v>188</v>
      </c>
      <c r="BQ38" s="166" t="s">
        <v>1</v>
      </c>
      <c r="BR38" s="171" t="s">
        <v>213</v>
      </c>
      <c r="BS38" s="166" t="s">
        <v>184</v>
      </c>
      <c r="BT38" s="166" t="s">
        <v>188</v>
      </c>
      <c r="BV38" s="166" t="s">
        <v>1</v>
      </c>
      <c r="BW38" s="171" t="s">
        <v>214</v>
      </c>
      <c r="BX38" s="166" t="s">
        <v>184</v>
      </c>
      <c r="BY38" s="166" t="s">
        <v>188</v>
      </c>
      <c r="CA38" s="166" t="s">
        <v>1</v>
      </c>
      <c r="CB38" s="171" t="s">
        <v>61</v>
      </c>
      <c r="CC38" s="166" t="s">
        <v>184</v>
      </c>
      <c r="CD38" s="166" t="s">
        <v>188</v>
      </c>
      <c r="CF38" s="175" t="s">
        <v>1</v>
      </c>
      <c r="CG38" s="43" t="s">
        <v>221</v>
      </c>
      <c r="CH38" s="175" t="s">
        <v>184</v>
      </c>
      <c r="CJ38" s="167" t="s">
        <v>1</v>
      </c>
      <c r="CK38" s="202" t="s">
        <v>228</v>
      </c>
      <c r="CL38" s="167" t="s">
        <v>184</v>
      </c>
    </row>
    <row r="39" spans="1:90">
      <c r="A39" s="149">
        <f>+CP_2026!B27</f>
        <v>189168</v>
      </c>
      <c r="B39" s="149" t="str">
        <f>+CP_2026!C27</f>
        <v>CercasPro 1.11x2.50m  Verde</v>
      </c>
      <c r="C39" s="151">
        <f>+M3</f>
        <v>1.25</v>
      </c>
      <c r="D39" s="95">
        <v>1.1100000000000001</v>
      </c>
      <c r="E39" s="95"/>
      <c r="F39" s="151">
        <f>+CP_2026!D27</f>
        <v>11.88</v>
      </c>
      <c r="G39" s="154">
        <f>+CP_2026!L27</f>
        <v>67.88</v>
      </c>
      <c r="H39" s="154">
        <f t="shared" ref="H39:H44" si="0">+IF($E$10=$I$3,ROUND(G39*(1-$J$3),2),IF($E$10=$I$4,ROUND(G39*(1-$J$4),2),IF($E$10=$I$5,ROUND(G39*(1-$J$5),2),IF($E$10=$I$6,ROUND(G39*(1-$J$6),2),IF($E$10=$I$7,ROUND(G39*(1-$J$7),2),IF($E$10=$I$8,ROUND(G39*(1-$J$8),2),G39))))))</f>
        <v>67.88</v>
      </c>
      <c r="J39" s="149">
        <v>270873</v>
      </c>
      <c r="K39" s="149" t="s">
        <v>46</v>
      </c>
      <c r="L39" s="149" t="s">
        <v>390</v>
      </c>
      <c r="M39" s="151">
        <v>0.55000000000000004</v>
      </c>
      <c r="N39" s="151">
        <v>3</v>
      </c>
      <c r="O39" s="151">
        <f>+VLOOKUP(J39,CP_2026!$B$28:$L$55,3,FALSE)</f>
        <v>4.43</v>
      </c>
      <c r="P39" s="154">
        <f>+VLOOKUP(J39,CP_2026!$B$28:$L$55,11,FALSE)</f>
        <v>24.032658227848099</v>
      </c>
      <c r="Q39" s="156">
        <f>+IF($E$10=$I$3,ROUND(P39*(1-$J$3),2),IF($E$10=$I$4,ROUND(P39*(1-$J$4),2),IF($E$10=$I$5,ROUND(P39*(1-$J$5),2),IF($E$10=$I$6,ROUND(P39*(1-$J$6),2),IF($E$10=$I$7,ROUND(P39*(1-$J$7),2),IF($E$10=$I$8,ROUND(P39*(1-$J$8),2),P39))))))</f>
        <v>24.032658227848099</v>
      </c>
      <c r="S39" s="149">
        <v>270872</v>
      </c>
      <c r="T39" s="149" t="s">
        <v>45</v>
      </c>
      <c r="U39" s="149" t="s">
        <v>193</v>
      </c>
      <c r="V39" s="95">
        <v>1.1599999999999999</v>
      </c>
      <c r="W39" s="95">
        <v>4.62</v>
      </c>
      <c r="X39" s="160">
        <f>+VLOOKUP(S39,CP_2026!$B$27:$L$55,11,FALSE)</f>
        <v>27.169451476793245</v>
      </c>
      <c r="Y39" s="160">
        <f>+IF($E$10=$I$3,ROUND(X39*(1-$J$3),2),IF($E$10=$I$4,ROUND(X39*(1-$J$4),2),IF($E$10=$I$5,ROUND(X39*(1-$J$5),2),IF($E$10=$I$6,ROUND(X39*(1-$J$6),2),IF($E$10=$I$7,ROUND(X39*(1-$J$7),2),IF($E$10=$I$8,ROUND(X39*(1-$J$8),2),X39))))))</f>
        <v>27.169451476793245</v>
      </c>
      <c r="AA39" s="581">
        <f>+CP_2026!B41</f>
        <v>272173</v>
      </c>
      <c r="AB39" s="565" t="str">
        <f>+CP_2026!C41</f>
        <v>Fijación p/perno 1/4" Verde</v>
      </c>
      <c r="AC39" s="163">
        <v>3</v>
      </c>
      <c r="AD39" s="582">
        <f>+CP_2026!L41</f>
        <v>1.1330801687763714</v>
      </c>
      <c r="AE39" s="582">
        <f>+IF($E$10=$I$3,ROUND(AD39*(1-$J$3),2),IF($E$10=$I$4,ROUND(AD39*(1-$J$4),2),IF($E$10=$I$5,ROUND(AD39*(1-$J$5),2),IF($E$10=$I$6,ROUND(AD39*(1-$J$6),2),IF($E$10=$I$7,ROUND(AD39*(1-$J$7),2),IF($E$10=$I$8,ROUND(AD39*(1-$J$8),2),AD39))))))</f>
        <v>1.1330801687763714</v>
      </c>
      <c r="AG39" s="149">
        <f>+CP_2026!B46</f>
        <v>270501</v>
      </c>
      <c r="AH39" s="149" t="str">
        <f>+CP_2026!C46</f>
        <v>Perno coche 1/4"X2 1/2" INOX 316 CHN</v>
      </c>
      <c r="AI39" s="151">
        <v>2.5</v>
      </c>
      <c r="AJ39" s="154">
        <f>+CP_2026!L46</f>
        <v>0.87915611814345995</v>
      </c>
      <c r="AK39" s="154">
        <f t="shared" ref="AK39:AK44" si="1">+IF($E$10=$I$3,ROUND(AJ39*(1-$J$3),2),IF($E$10=$I$4,ROUND(AJ39*(1-$J$4),2),IF($E$10=$I$5,ROUND(AJ39*(1-$J$5),2),IF($E$10=$I$6,ROUND(AJ39*(1-$J$6),2),IF($E$10=$I$7,ROUND(AJ39*(1-$J$7),2),IF($E$10=$I$8,ROUND(AJ39*(1-$J$8),2),AJ39))))))</f>
        <v>0.87915611814345995</v>
      </c>
      <c r="AM39" s="149">
        <f>+CP_2026!B50</f>
        <v>270504</v>
      </c>
      <c r="AN39" s="149" t="str">
        <f>+CP_2026!C50</f>
        <v>Tuerca Seg.Emb.Autor.INOX 1/4 X19mm</v>
      </c>
      <c r="AO39" s="154">
        <f>+CP_2026!L50</f>
        <v>2.5</v>
      </c>
      <c r="AP39" s="154">
        <f>+IF($E$10=$I$3,ROUND(AO39*(1-$J$3),2),IF($E$10=$I$4,ROUND(AO39*(1-$J$4),2),IF($E$10=$I$5,ROUND(AO39*(1-$J$5),2),IF($E$10=$I$6,ROUND(AO39*(1-$J$6),2),IF($E$10=$I$7,ROUND(AO39*(1-$J$7),2),IF($E$10=$I$8,ROUND(AO39*(1-$J$8),2),AO39))))))</f>
        <v>2.5</v>
      </c>
      <c r="AR39" s="149">
        <f>+CP_2026!B51</f>
        <v>189489</v>
      </c>
      <c r="AS39" s="149" t="str">
        <f>+CP_2026!C51</f>
        <v>Perno de anclaje 1/2x4''</v>
      </c>
      <c r="AT39" s="154">
        <f>+CP_2026!L51</f>
        <v>2.62</v>
      </c>
      <c r="AU39" s="154">
        <f>+IF($E$10=$I$3,ROUND(AT39*(1-$J$3),2),IF($E$10=$I$4,ROUND(AT39*(1-$J$4),2),IF($E$10=$I$5,ROUND(AT39*(1-$J$5),2),IF($E$10=$I$6,ROUND(AT39*(1-$J$6),2),IF($E$10=$I$7,ROUND(AT39*(1-$J$7),2),IF($E$10=$I$8,ROUND(AT39*(1-$J$8),2),AT39))))))</f>
        <v>2.62</v>
      </c>
      <c r="AW39" s="431"/>
      <c r="BB39" s="149">
        <v>189488</v>
      </c>
      <c r="BC39" s="149" t="s">
        <v>58</v>
      </c>
      <c r="BD39" s="154">
        <v>1.54</v>
      </c>
      <c r="BE39" s="154">
        <f t="shared" ref="BE39:BE44" si="2">+IF($E$10=$I$3,ROUND(BD39*(1-$J$3),2),IF($E$10=$I$4,ROUND(BD39*(1-$J$4),2),IF($E$10=$I$5,ROUND(BD39*(1-$J$5),2),IF($E$10=$I$6,ROUND(BD39*(1-$J$6),2),IF($E$10=$I$7,ROUND(BD39*(1-$J$7),2),IF($E$10=$I$8,ROUND(BD39*(1-$J$8),2),BD39))))))</f>
        <v>1.54</v>
      </c>
      <c r="BG39" s="149">
        <v>189162</v>
      </c>
      <c r="BH39" s="149" t="s">
        <v>57</v>
      </c>
      <c r="BI39" s="154">
        <v>0.6</v>
      </c>
      <c r="BJ39" s="154">
        <f>+IF($E$10=$I$3,ROUND(BI39*(1-$J$3),2),IF($E$10=$I$4,ROUND(BI39*(1-$J$4),2),IF($E$10=$I$5,ROUND(BI39*(1-$J$5),2),IF($E$10=$I$6,ROUND(BI39*(1-$J$6),2),IF($E$10=$I$7,ROUND(BI39*(1-$J$7),2),IF($E$10=$I$8,ROUND(BI39*(1-$J$8),2),BI39))))))</f>
        <v>0.6</v>
      </c>
      <c r="BL39" s="159">
        <v>189186</v>
      </c>
      <c r="BM39" s="159" t="s">
        <v>54</v>
      </c>
      <c r="BN39" s="156">
        <v>30.25</v>
      </c>
      <c r="BO39" s="156">
        <f t="shared" ref="BO39:BO44" si="3">+IF($E$10=$I$3,ROUND(BN39*(1-$J$3),2),IF($E$10=$I$4,ROUND(BN39*(1-$J$4),2),IF($E$10=$I$5,ROUND(BN39*(1-$J$5),2),IF($E$10=$I$6,ROUND(BN39*(1-$J$6),2),IF($E$10=$I$7,ROUND(BN39*(1-$J$7),2),IF($E$10=$I$8,ROUND(BN39*(1-$J$8),2),BN39))))))</f>
        <v>30.25</v>
      </c>
      <c r="BQ39" s="149">
        <f>+CP_2026!B52</f>
        <v>189205</v>
      </c>
      <c r="BR39" s="149" t="str">
        <f>+CP_2026!C52</f>
        <v>SPRAY VERDE 077 SEYER</v>
      </c>
      <c r="BS39" s="164">
        <f>+CP_2026!L52</f>
        <v>4.2724850099933374</v>
      </c>
      <c r="BT39" s="164">
        <f>+IF($E$10=$I$3,ROUND(BS39*(1-$J$3),2),IF($E$10=$I$4,ROUND(BS39*(1-$J$4),2),IF($E$10=$I$5,ROUND(BS39*(1-$J$5),2),IF($E$10=$I$6,ROUND(BS39*(1-$J$6),2),IF($E$10=$I$7,ROUND(BS39*(1-$J$7),2),IF($E$10=$I$8,ROUND(BS39*(1-$J$8),2),BS39))))))</f>
        <v>4.2724850099933374</v>
      </c>
      <c r="BV39" s="149">
        <f>+CP_2026!B53</f>
        <v>683471</v>
      </c>
      <c r="BW39" s="149" t="str">
        <f>+CP_2026!C53</f>
        <v>SPRAY GALV FRIO</v>
      </c>
      <c r="BX39" s="164">
        <f>+CP_2026!L53</f>
        <v>37.517039922103216</v>
      </c>
      <c r="BY39" s="164">
        <f>+IF($E$10=$I$3,ROUND(BX39*(1-$J$3),2),IF($E$10=$I$4,ROUND(BX39*(1-$J$4),2),IF($E$10=$I$5,ROUND(BX39*(1-$J$5),2),IF($E$10=$I$6,ROUND(BX39*(1-$J$6),2),IF($E$10=$I$7,ROUND(BX39*(1-$J$7),2),IF($E$10=$I$8,ROUND(BX39*(1-$J$8),2),BX39))))))</f>
        <v>37.517039922103216</v>
      </c>
      <c r="CA39" s="149">
        <v>189489</v>
      </c>
      <c r="CB39" s="149" t="s">
        <v>61</v>
      </c>
      <c r="CC39" s="164">
        <v>2.62</v>
      </c>
      <c r="CD39" s="164">
        <f>+IF($E$10=$I$3,ROUND(CC39*(1-$J$3),2),IF($E$10=$I$4,ROUND(CC39*(1-$J$4),2),IF($E$10=$I$5,ROUND(CC39*(1-$J$5),2),IF($E$10=$I$6,ROUND(CC39*(1-$J$6),2),IF($E$10=$I$7,ROUND(CC39*(1-$J$7),2),IF($E$10=$I$8,ROUND(CC39*(1-$J$8),2),CC39))))))</f>
        <v>2.62</v>
      </c>
      <c r="CF39" s="149">
        <v>188560</v>
      </c>
      <c r="CG39" s="149" t="str">
        <f>+CG38</f>
        <v>Varilla 7.5 mm x 12 m</v>
      </c>
      <c r="CH39" s="164">
        <v>7.02</v>
      </c>
      <c r="CJ39" s="149">
        <f>+CP_2026!B96</f>
        <v>188053</v>
      </c>
      <c r="CK39" s="149" t="str">
        <f>+CP_2026!C96</f>
        <v>Motto  (rojo) 200</v>
      </c>
      <c r="CL39" s="164">
        <f>+CP_2026!L96</f>
        <v>29.51</v>
      </c>
    </row>
    <row r="40" spans="1:90">
      <c r="A40" s="149">
        <f>+CP_2026!B28</f>
        <v>189483</v>
      </c>
      <c r="B40" s="149" t="str">
        <f>+CP_2026!C28</f>
        <v>CercasPro 2,08x2.50m  Verde</v>
      </c>
      <c r="C40" s="151">
        <f>+M4</f>
        <v>0</v>
      </c>
      <c r="D40" s="95">
        <v>2.08</v>
      </c>
      <c r="E40" s="95"/>
      <c r="F40" s="151">
        <f>+CP_2026!D28</f>
        <v>21.95</v>
      </c>
      <c r="G40" s="154">
        <f>+CP_2026!L28</f>
        <v>119.79</v>
      </c>
      <c r="H40" s="154">
        <f t="shared" si="0"/>
        <v>119.79</v>
      </c>
      <c r="J40" s="149">
        <v>270876</v>
      </c>
      <c r="K40" s="149" t="s">
        <v>48</v>
      </c>
      <c r="L40" s="149" t="s">
        <v>390</v>
      </c>
      <c r="M40" s="151">
        <v>0.55000000000000004</v>
      </c>
      <c r="N40" s="151">
        <v>3.7</v>
      </c>
      <c r="O40" s="151">
        <f>+VLOOKUP(J40,CP_2026!$B$28:$L$55,3,FALSE)</f>
        <v>7.3</v>
      </c>
      <c r="P40" s="154">
        <f>+VLOOKUP(J40,CP_2026!$B$28:$L$55,11,FALSE)</f>
        <v>35.558649789029538</v>
      </c>
      <c r="Q40" s="156">
        <f>+IF($E$10=$I$3,ROUND(P40*(1-$J$3),2),IF($E$10=$I$4,ROUND(P40*(1-$J$4),2),IF($E$10=$I$5,ROUND(P40*(1-$J$5),2),IF($E$10=$I$6,ROUND(P40*(1-$J$6),2),IF($E$10=$I$7,ROUND(P40*(1-$J$7),2),IF($E$10=$I$8,ROUND(P40*(1-$J$8),2),P40))))))</f>
        <v>35.558649789029538</v>
      </c>
      <c r="S40" s="149">
        <v>270874</v>
      </c>
      <c r="T40" s="149" t="s">
        <v>47</v>
      </c>
      <c r="U40" s="149" t="s">
        <v>193</v>
      </c>
      <c r="V40" s="95">
        <v>2.13</v>
      </c>
      <c r="W40" s="95">
        <v>7.29</v>
      </c>
      <c r="X40" s="160">
        <f>+VLOOKUP(S40,CP_2026!$B$27:$L$55,11,FALSE)</f>
        <v>35.895443037974687</v>
      </c>
      <c r="Y40" s="160">
        <f>+IF($E$10=$I$3,ROUND(X40*(1-$J$3),2),IF($E$10=$I$4,ROUND(X40*(1-$J$4),2),IF($E$10=$I$5,ROUND(X40*(1-$J$5),2),IF($E$10=$I$6,ROUND(X40*(1-$J$6),2),IF($E$10=$I$7,ROUND(X40*(1-$J$7),2),IF($E$10=$I$8,ROUND(X40*(1-$J$8),2),X40))))))</f>
        <v>35.895443037974687</v>
      </c>
      <c r="AA40" s="565"/>
      <c r="AB40" s="565"/>
      <c r="AC40" s="163">
        <v>5</v>
      </c>
      <c r="AD40" s="582"/>
      <c r="AE40" s="582"/>
      <c r="AG40" s="149">
        <f>+AG39</f>
        <v>270501</v>
      </c>
      <c r="AH40" s="149" t="str">
        <f>+AH39</f>
        <v>Perno coche 1/4"X2 1/2" INOX 316 CHN</v>
      </c>
      <c r="AI40" s="151">
        <v>2.5</v>
      </c>
      <c r="AJ40" s="154">
        <f>+AJ39</f>
        <v>0.87915611814345995</v>
      </c>
      <c r="AK40" s="154">
        <f t="shared" si="1"/>
        <v>0.87915611814345995</v>
      </c>
      <c r="BB40" s="149">
        <f t="shared" ref="BB40:BD41" si="4">+BB39</f>
        <v>189488</v>
      </c>
      <c r="BC40" s="149" t="str">
        <f t="shared" si="4"/>
        <v>ProTapa plástica 60x60mm</v>
      </c>
      <c r="BD40" s="154">
        <f t="shared" si="4"/>
        <v>1.54</v>
      </c>
      <c r="BE40" s="154">
        <f t="shared" si="2"/>
        <v>1.54</v>
      </c>
      <c r="BL40" s="159">
        <f>+BL39</f>
        <v>189186</v>
      </c>
      <c r="BM40" s="159" t="str">
        <f>+BM39</f>
        <v>Brazo 45° 60x60 VER</v>
      </c>
      <c r="BN40" s="156">
        <f>+BN39</f>
        <v>30.25</v>
      </c>
      <c r="BO40" s="156">
        <f t="shared" si="3"/>
        <v>30.25</v>
      </c>
      <c r="CJ40" s="149">
        <f>+CP_2026!B97</f>
        <v>188051</v>
      </c>
      <c r="CK40" s="149" t="str">
        <f>+CP_2026!C97</f>
        <v>Motto  (azul) 300</v>
      </c>
      <c r="CL40" s="164">
        <f>+CP_2026!L97</f>
        <v>46.15</v>
      </c>
    </row>
    <row r="41" spans="1:90">
      <c r="A41" s="149"/>
      <c r="B41" s="149"/>
      <c r="C41" s="151"/>
      <c r="D41" s="95"/>
      <c r="E41" s="95"/>
      <c r="F41" s="95"/>
      <c r="G41" s="154"/>
      <c r="H41" s="154">
        <f t="shared" si="0"/>
        <v>0</v>
      </c>
      <c r="J41" s="149"/>
      <c r="K41" s="149"/>
      <c r="L41" s="149"/>
      <c r="M41" s="151"/>
      <c r="N41" s="151"/>
      <c r="O41" s="151"/>
      <c r="P41" s="154"/>
      <c r="Q41" s="156"/>
      <c r="S41" s="95"/>
      <c r="T41" s="95"/>
      <c r="U41" s="149"/>
      <c r="V41" s="95"/>
      <c r="W41" s="95"/>
      <c r="X41" s="160"/>
      <c r="Y41" s="160">
        <f t="shared" ref="Y41:Y42" si="5">+IF($E$10=$I$3,ROUND(X41*(1-$J$3),2),IF($E$10=$I$4,ROUND(X41*(1-$J$4),2),IF($E$10=$I$5,ROUND(X41*(1-$J$5),2),IF($E$10=$I$6,ROUND(X41*(1-$J$6),2),IF($E$10=$I$7,ROUND(X41*(1-$J$7),2),IF($E$10=$I$8,ROUND(X41*(1-$J$8),2),X41))))))</f>
        <v>0</v>
      </c>
      <c r="AA41" s="565"/>
      <c r="AB41" s="565"/>
      <c r="AC41" s="163">
        <v>5</v>
      </c>
      <c r="AD41" s="582"/>
      <c r="AE41" s="582"/>
      <c r="AG41" s="149">
        <f>+AG40</f>
        <v>270501</v>
      </c>
      <c r="AH41" s="149" t="str">
        <f>+AH40</f>
        <v>Perno coche 1/4"X2 1/2" INOX 316 CHN</v>
      </c>
      <c r="AI41" s="151">
        <v>2.5</v>
      </c>
      <c r="AJ41" s="154">
        <f>+AJ40</f>
        <v>0.87915611814345995</v>
      </c>
      <c r="AK41" s="154">
        <f t="shared" si="1"/>
        <v>0.87915611814345995</v>
      </c>
      <c r="BB41" s="149">
        <f t="shared" si="4"/>
        <v>189488</v>
      </c>
      <c r="BC41" s="149" t="str">
        <f t="shared" si="4"/>
        <v>ProTapa plástica 60x60mm</v>
      </c>
      <c r="BD41" s="154">
        <f t="shared" si="4"/>
        <v>1.54</v>
      </c>
      <c r="BE41" s="154">
        <f t="shared" si="2"/>
        <v>1.54</v>
      </c>
      <c r="BL41" s="159"/>
      <c r="BM41" s="159"/>
      <c r="BN41" s="156"/>
      <c r="BO41" s="156">
        <f t="shared" si="3"/>
        <v>0</v>
      </c>
      <c r="CJ41" s="149">
        <f>+CP_2026!B98</f>
        <v>188055</v>
      </c>
      <c r="CK41" s="149" t="str">
        <f>+CP_2026!C98</f>
        <v>Motto  (rojo) 400</v>
      </c>
      <c r="CL41" s="164">
        <f>+CP_2026!L98</f>
        <v>57.27</v>
      </c>
    </row>
    <row r="42" spans="1:90">
      <c r="A42" s="149">
        <f>+CP_2026!B29</f>
        <v>273709</v>
      </c>
      <c r="B42" s="149" t="str">
        <f>+CP_2026!C29</f>
        <v>CercasPro 2.40x2.50m  Verde</v>
      </c>
      <c r="C42" s="151">
        <f>+M6</f>
        <v>0</v>
      </c>
      <c r="D42" s="95">
        <v>2.4</v>
      </c>
      <c r="E42" s="95"/>
      <c r="F42" s="151">
        <f>+CP_2026!D29</f>
        <v>24.08</v>
      </c>
      <c r="G42" s="154">
        <f>+CP_2026!L29</f>
        <v>137.76</v>
      </c>
      <c r="H42" s="154">
        <f t="shared" si="0"/>
        <v>137.76</v>
      </c>
      <c r="J42" s="149">
        <v>270526</v>
      </c>
      <c r="K42" s="149" t="s">
        <v>50</v>
      </c>
      <c r="L42" s="149" t="s">
        <v>194</v>
      </c>
      <c r="M42" s="151">
        <v>0.6</v>
      </c>
      <c r="N42" s="151">
        <v>3</v>
      </c>
      <c r="O42" s="151">
        <f>+VLOOKUP(J42,CP_2026!$B$28:$L$55,3,FALSE)</f>
        <v>13.73</v>
      </c>
      <c r="P42" s="154">
        <f>+VLOOKUP(J42,CP_2026!$B$28:$L$55,11,FALSE)</f>
        <v>72.699999999999989</v>
      </c>
      <c r="Q42" s="156">
        <f>+IF($E$10=$I$3,ROUND(P42*(1-$J$3),2),IF($E$10=$I$4,ROUND(P42*(1-$J$4),2),IF($E$10=$I$5,ROUND(P42*(1-$J$5),2),IF($E$10=$I$6,ROUND(P42*(1-$J$6),2),IF($E$10=$I$7,ROUND(P42*(1-$J$7),2),IF($E$10=$I$8,ROUND(P42*(1-$J$8),2),P42))))))</f>
        <v>72.699999999999989</v>
      </c>
      <c r="S42" s="149">
        <v>665190</v>
      </c>
      <c r="T42" s="149" t="s">
        <v>49</v>
      </c>
      <c r="U42" s="161" t="s">
        <v>194</v>
      </c>
      <c r="V42" s="162">
        <v>2.4500000000000002</v>
      </c>
      <c r="W42" s="95">
        <v>9.48</v>
      </c>
      <c r="X42" s="160">
        <f>+VLOOKUP(S42,CP_2026!$B$27:$L$55,11,FALSE)</f>
        <v>97.42</v>
      </c>
      <c r="Y42" s="160">
        <f t="shared" si="5"/>
        <v>97.42</v>
      </c>
      <c r="AA42" s="565"/>
      <c r="AB42" s="565"/>
      <c r="AC42" s="163">
        <v>5</v>
      </c>
      <c r="AD42" s="582"/>
      <c r="AE42" s="582"/>
      <c r="AG42" s="149">
        <f>+CP_2026!B47</f>
        <v>270502</v>
      </c>
      <c r="AH42" s="149" t="str">
        <f>+CP_2026!C47</f>
        <v xml:space="preserve">Perno coche 1/4"X3" INOX 316 CHN </v>
      </c>
      <c r="AI42" s="151">
        <v>3</v>
      </c>
      <c r="AJ42" s="154">
        <f>+CP_2026!L47</f>
        <v>0.93</v>
      </c>
      <c r="AK42" s="154">
        <f t="shared" si="1"/>
        <v>0.93</v>
      </c>
      <c r="BB42" s="149">
        <f>+BB43</f>
        <v>189197</v>
      </c>
      <c r="BC42" s="149" t="str">
        <f>+BC43</f>
        <v>ProTapa poste 75x75</v>
      </c>
      <c r="BD42" s="154">
        <f>+BD43</f>
        <v>1.87</v>
      </c>
      <c r="BE42" s="154">
        <f t="shared" si="2"/>
        <v>1.87</v>
      </c>
      <c r="BL42" s="159">
        <v>270512</v>
      </c>
      <c r="BM42" s="159" t="s">
        <v>55</v>
      </c>
      <c r="BN42" s="156">
        <v>30.04</v>
      </c>
      <c r="BO42" s="156">
        <f t="shared" si="3"/>
        <v>30.04</v>
      </c>
      <c r="CJ42" s="149">
        <f>+CP_2026!B99</f>
        <v>188057</v>
      </c>
      <c r="CK42" s="149" t="str">
        <f>+CP_2026!C99</f>
        <v>Motto  (rojo) 500</v>
      </c>
      <c r="CL42" s="164">
        <f>+CP_2026!L99</f>
        <v>70.010000000000005</v>
      </c>
    </row>
    <row r="43" spans="1:90">
      <c r="A43" s="95" t="str">
        <f>+A39&amp;" / "&amp;A40</f>
        <v>189168 / 189483</v>
      </c>
      <c r="B43" s="95" t="str">
        <f>+B39&amp;" "&amp;B40</f>
        <v>CercasPro 1.11x2.50m  Verde CercasPro 2,08x2.50m  Verde</v>
      </c>
      <c r="C43" s="151">
        <f>+M7</f>
        <v>0</v>
      </c>
      <c r="D43" s="95">
        <v>1.1100000000000001</v>
      </c>
      <c r="E43" s="95">
        <f>+C40</f>
        <v>0</v>
      </c>
      <c r="F43" s="151">
        <f>+F39+F40</f>
        <v>33.83</v>
      </c>
      <c r="G43" s="154">
        <f>+G39+G40</f>
        <v>187.67000000000002</v>
      </c>
      <c r="H43" s="154">
        <f t="shared" si="0"/>
        <v>187.67000000000002</v>
      </c>
      <c r="J43" s="149">
        <v>270527</v>
      </c>
      <c r="K43" s="149" t="s">
        <v>51</v>
      </c>
      <c r="L43" s="149" t="s">
        <v>194</v>
      </c>
      <c r="M43" s="151">
        <v>0.95</v>
      </c>
      <c r="N43" s="151">
        <v>3.7</v>
      </c>
      <c r="O43" s="151">
        <f>+VLOOKUP(J43,CP_2026!$B$28:$L$55,3,FALSE)</f>
        <v>16.93</v>
      </c>
      <c r="P43" s="154">
        <f>+VLOOKUP(J43,CP_2026!$B$28:$L$55,11,FALSE)</f>
        <v>85.57274261603375</v>
      </c>
      <c r="Q43" s="156">
        <f>+IF($E$10=$I$3,ROUND(P43*(1-$J$3),2),IF($E$10=$I$4,ROUND(P43*(1-$J$4),2),IF($E$10=$I$5,ROUND(P43*(1-$J$5),2),IF($E$10=$I$6,ROUND(P43*(1-$J$6),2),IF($E$10=$I$7,ROUND(P43*(1-$J$7),2),IF($E$10=$I$8,ROUND(P43*(1-$J$8),2),P43))))))</f>
        <v>85.57274261603375</v>
      </c>
      <c r="S43" s="95"/>
      <c r="T43" s="95"/>
      <c r="U43" s="149"/>
      <c r="V43" s="95"/>
      <c r="W43" s="95"/>
      <c r="X43" s="160"/>
      <c r="Y43" s="160">
        <f>+IF($E$10=$I$3,ROUND(X43*(1-$J$3),2),IF($E$10=$I$4,ROUND(X43*(1-$J$4),2),IF($E$10=$I$5,ROUND(X43*(1-$J$5),2),IF($E$10=$I$6,ROUND(X43*(1-$J$6),2),IF($E$10=$I$7,ROUND(X43*(1-$J$7),2),IF($E$10=$I$8,ROUND(X43*(1-$J$8),2),X43))))))</f>
        <v>0</v>
      </c>
      <c r="AA43" s="565"/>
      <c r="AB43" s="565"/>
      <c r="AC43" s="163">
        <v>7</v>
      </c>
      <c r="AD43" s="582"/>
      <c r="AE43" s="582"/>
      <c r="AG43" s="149">
        <f>+CP_2026!B47</f>
        <v>270502</v>
      </c>
      <c r="AH43" s="149" t="str">
        <f>+CP_2026!C47</f>
        <v xml:space="preserve">Perno coche 1/4"X3" INOX 316 CHN </v>
      </c>
      <c r="AI43" s="151">
        <v>3</v>
      </c>
      <c r="AJ43" s="154">
        <f>+CP_2026!L47</f>
        <v>0.93</v>
      </c>
      <c r="AK43" s="154">
        <f t="shared" si="1"/>
        <v>0.93</v>
      </c>
      <c r="BB43" s="149">
        <v>189197</v>
      </c>
      <c r="BC43" s="149" t="s">
        <v>346</v>
      </c>
      <c r="BD43" s="154">
        <v>1.87</v>
      </c>
      <c r="BE43" s="154">
        <f t="shared" si="2"/>
        <v>1.87</v>
      </c>
      <c r="BL43" s="159">
        <f t="shared" ref="BL43:BN44" si="6">+BL42</f>
        <v>270512</v>
      </c>
      <c r="BM43" s="159" t="str">
        <f t="shared" si="6"/>
        <v>Brazo Puas 75x75 Verde</v>
      </c>
      <c r="BN43" s="156">
        <f t="shared" si="6"/>
        <v>30.04</v>
      </c>
      <c r="BO43" s="156">
        <f t="shared" si="3"/>
        <v>30.04</v>
      </c>
      <c r="CJ43" s="149">
        <f>+CP_2026!B100</f>
        <v>188072</v>
      </c>
      <c r="CK43" s="149" t="str">
        <f>+CP_2026!C100</f>
        <v>Motto  (rojo) 100</v>
      </c>
      <c r="CL43" s="164">
        <f>+CP_2026!L100</f>
        <v>17.239999999999998</v>
      </c>
    </row>
    <row r="44" spans="1:90">
      <c r="A44" s="95" t="str">
        <f>+A40&amp;" / "&amp;A40</f>
        <v>189483 / 189483</v>
      </c>
      <c r="B44" s="95" t="str">
        <f>+B40&amp;" / "&amp;B40</f>
        <v>CercasPro 2,08x2.50m  Verde / CercasPro 2,08x2.50m  Verde</v>
      </c>
      <c r="C44" s="151">
        <f>+M8</f>
        <v>0</v>
      </c>
      <c r="D44" s="95">
        <v>2.08</v>
      </c>
      <c r="E44" s="95">
        <f>+D40</f>
        <v>2.08</v>
      </c>
      <c r="F44" s="151">
        <f>+F40+F40</f>
        <v>43.9</v>
      </c>
      <c r="G44" s="154">
        <f>+G40+G40</f>
        <v>239.58</v>
      </c>
      <c r="H44" s="154">
        <f t="shared" si="0"/>
        <v>239.58</v>
      </c>
      <c r="J44" s="149">
        <v>270877</v>
      </c>
      <c r="K44" s="149" t="s">
        <v>52</v>
      </c>
      <c r="L44" s="149" t="s">
        <v>195</v>
      </c>
      <c r="M44" s="151">
        <v>0.95</v>
      </c>
      <c r="N44" s="151">
        <v>5</v>
      </c>
      <c r="O44" s="151">
        <f>+VLOOKUP(J44,CP_2026!$B$28:$L$55,3,FALSE)</f>
        <v>31.45</v>
      </c>
      <c r="P44" s="154">
        <f>+VLOOKUP(J44,CP_2026!$B$28:$L$55,11,FALSE)</f>
        <v>160.6333333333333</v>
      </c>
      <c r="Q44" s="156">
        <f>+IF($E$10=$I$3,ROUND(P44*(1-$J$3),2),IF($E$10=$I$4,ROUND(P44*(1-$J$4),2),IF($E$10=$I$5,ROUND(P44*(1-$J$5),2),IF($E$10=$I$6,ROUND(P44*(1-$J$6),2),IF($E$10=$I$7,ROUND(P44*(1-$J$7),2),IF($E$10=$I$8,ROUND(P44*(1-$J$8),2),P44))))))</f>
        <v>160.6333333333333</v>
      </c>
      <c r="S44" s="95"/>
      <c r="T44" s="95"/>
      <c r="U44" s="149"/>
      <c r="V44" s="95"/>
      <c r="W44" s="95"/>
      <c r="X44" s="160"/>
      <c r="Y44" s="160">
        <f>+IF($E$10=$I$3,ROUND(X44*(1-$J$3),2),IF($E$10=$I$4,ROUND(X44*(1-$J$4),2),IF($E$10=$I$5,ROUND(X44*(1-$J$5),2),IF($E$10=$I$6,ROUND(X44*(1-$J$6),2),IF($E$10=$I$7,ROUND(X44*(1-$J$7),2),IF($E$10=$I$8,ROUND(X44*(1-$J$8),2),X44))))))</f>
        <v>0</v>
      </c>
      <c r="AA44" s="565"/>
      <c r="AB44" s="565"/>
      <c r="AC44" s="163">
        <v>9</v>
      </c>
      <c r="AD44" s="582"/>
      <c r="AE44" s="582"/>
      <c r="AG44" s="149">
        <f>+CP_2026!B48</f>
        <v>270503</v>
      </c>
      <c r="AH44" s="149" t="str">
        <f>+CP_2026!C48</f>
        <v>Perno coche 1/4"X4" INOX 316 CHN</v>
      </c>
      <c r="AI44" s="151">
        <v>4</v>
      </c>
      <c r="AJ44" s="154">
        <f>+CP_2026!L48</f>
        <v>1.21</v>
      </c>
      <c r="AK44" s="154">
        <f t="shared" si="1"/>
        <v>1.21</v>
      </c>
      <c r="BB44" s="149">
        <v>189196</v>
      </c>
      <c r="BC44" s="149" t="s">
        <v>347</v>
      </c>
      <c r="BD44" s="154">
        <v>2.2999999999999998</v>
      </c>
      <c r="BE44" s="154">
        <f t="shared" si="2"/>
        <v>2.2999999999999998</v>
      </c>
      <c r="BL44" s="159">
        <f t="shared" si="6"/>
        <v>270512</v>
      </c>
      <c r="BM44" s="159" t="str">
        <f t="shared" si="6"/>
        <v>Brazo Puas 75x75 Verde</v>
      </c>
      <c r="BN44" s="156">
        <f t="shared" si="6"/>
        <v>30.04</v>
      </c>
      <c r="BO44" s="156">
        <f t="shared" si="3"/>
        <v>30.04</v>
      </c>
    </row>
    <row r="46" spans="1:90" s="148" customFormat="1"/>
    <row r="48" spans="1:90">
      <c r="A48" s="93" t="s">
        <v>101</v>
      </c>
      <c r="M48" s="93"/>
      <c r="N48" s="93"/>
      <c r="O48" s="93"/>
      <c r="P48" s="93"/>
    </row>
    <row r="49" spans="1:5">
      <c r="A49" s="93"/>
    </row>
    <row r="50" spans="1:5">
      <c r="A50" s="93" t="s">
        <v>185</v>
      </c>
      <c r="B50" s="92" t="s">
        <v>160</v>
      </c>
      <c r="E50" t="s">
        <v>139</v>
      </c>
    </row>
    <row r="51" spans="1:5">
      <c r="A51" t="s">
        <v>138</v>
      </c>
      <c r="B51" s="95">
        <f>+Ingresar!D22</f>
        <v>100</v>
      </c>
      <c r="D51" t="s">
        <v>181</v>
      </c>
      <c r="E51" s="149" t="str">
        <f>+L66</f>
        <v>60 x 40</v>
      </c>
    </row>
    <row r="52" spans="1:5">
      <c r="A52" t="s">
        <v>179</v>
      </c>
      <c r="B52" s="95">
        <f>ROUNDUP(((B4/2.5)+(B4/2.5)*(E14)),0)</f>
        <v>40</v>
      </c>
      <c r="D52" t="s">
        <v>140</v>
      </c>
      <c r="E52" s="151">
        <f>+N66</f>
        <v>2.6</v>
      </c>
    </row>
    <row r="53" spans="1:5">
      <c r="A53" t="s">
        <v>142</v>
      </c>
      <c r="B53" s="95">
        <f>+B5+1</f>
        <v>41</v>
      </c>
      <c r="D53" t="s">
        <v>141</v>
      </c>
      <c r="E53" s="226">
        <f>+O66</f>
        <v>5.0439999999999996</v>
      </c>
    </row>
    <row r="54" spans="1:5">
      <c r="A54" t="s">
        <v>132</v>
      </c>
      <c r="B54" s="95">
        <f>+B53</f>
        <v>41</v>
      </c>
      <c r="D54" t="s">
        <v>142</v>
      </c>
      <c r="E54" s="95">
        <f>ROUNDUP(IF((B52+1),(B52+1)*(1+E60)),0)</f>
        <v>41</v>
      </c>
    </row>
    <row r="55" spans="1:5">
      <c r="A55" t="s">
        <v>133</v>
      </c>
      <c r="B55" s="95">
        <f>+B53*AC66</f>
        <v>205</v>
      </c>
    </row>
    <row r="56" spans="1:5">
      <c r="A56" t="s">
        <v>134</v>
      </c>
      <c r="B56" s="95">
        <f>+B55</f>
        <v>205</v>
      </c>
      <c r="D56" t="s">
        <v>98</v>
      </c>
      <c r="E56" s="220" t="str">
        <f>+Ingresar!H22</f>
        <v>PVS</v>
      </c>
    </row>
    <row r="57" spans="1:5">
      <c r="A57" t="s">
        <v>135</v>
      </c>
      <c r="B57" s="95"/>
      <c r="D57" t="s">
        <v>128</v>
      </c>
      <c r="E57" s="220">
        <f>+Ingresar!D26</f>
        <v>2.08</v>
      </c>
    </row>
    <row r="58" spans="1:5">
      <c r="A58" t="s">
        <v>136</v>
      </c>
      <c r="B58" s="95"/>
      <c r="E58" s="97"/>
    </row>
    <row r="59" spans="1:5">
      <c r="A59" s="94" t="s">
        <v>137</v>
      </c>
      <c r="B59" s="95">
        <f>+B53</f>
        <v>41</v>
      </c>
      <c r="E59" s="97"/>
    </row>
    <row r="60" spans="1:5">
      <c r="A60" t="s">
        <v>213</v>
      </c>
      <c r="B60" s="95">
        <f>+IF(B51&lt;25,1,ROUNDUP(B51/25,0))</f>
        <v>4</v>
      </c>
      <c r="D60" t="s">
        <v>237</v>
      </c>
      <c r="E60" s="221">
        <f>+E14</f>
        <v>0</v>
      </c>
    </row>
    <row r="61" spans="1:5">
      <c r="A61" t="s">
        <v>214</v>
      </c>
      <c r="B61" s="95">
        <f>+IF(B51&lt;50,1,ROUNDUP(B51/100,0))</f>
        <v>1</v>
      </c>
    </row>
    <row r="62" spans="1:5">
      <c r="A62" t="s">
        <v>391</v>
      </c>
      <c r="B62" s="95">
        <f>ROUNDUP(((B51/2.5)),0)</f>
        <v>40</v>
      </c>
    </row>
    <row r="65" spans="1:71">
      <c r="A65" s="578" t="s">
        <v>197</v>
      </c>
      <c r="B65" s="578"/>
      <c r="C65" s="578"/>
      <c r="D65" s="578"/>
      <c r="E65" s="578"/>
      <c r="F65" s="578"/>
      <c r="G65" s="578"/>
      <c r="H65" s="578"/>
      <c r="J65" s="579" t="s">
        <v>196</v>
      </c>
      <c r="K65" s="579"/>
      <c r="L65" s="579"/>
      <c r="M65" s="579"/>
      <c r="N65" s="579"/>
      <c r="O65" s="579"/>
      <c r="P65" s="579"/>
      <c r="Q65" s="579"/>
      <c r="AA65" s="580" t="s">
        <v>199</v>
      </c>
      <c r="AB65" s="580"/>
      <c r="AC65" s="580"/>
      <c r="AD65" s="580"/>
      <c r="AE65" s="580"/>
      <c r="AG65" s="570" t="s">
        <v>207</v>
      </c>
      <c r="AH65" s="570"/>
      <c r="AI65" s="570"/>
      <c r="AJ65" s="570"/>
      <c r="AK65" s="570"/>
      <c r="AM65" s="571" t="s">
        <v>205</v>
      </c>
      <c r="AN65" s="572"/>
      <c r="AO65" s="572"/>
      <c r="AP65" s="573"/>
      <c r="AR65" s="575" t="s">
        <v>208</v>
      </c>
      <c r="AS65" s="575"/>
      <c r="AT65" s="575"/>
      <c r="AU65" s="575"/>
      <c r="AW65" s="575" t="s">
        <v>207</v>
      </c>
      <c r="AX65" s="575"/>
      <c r="AY65" s="575"/>
      <c r="AZ65" s="575"/>
      <c r="BB65" s="568" t="str">
        <f>+BC68</f>
        <v>Spray verde</v>
      </c>
      <c r="BC65" s="569"/>
      <c r="BD65" s="569"/>
      <c r="BE65" s="569"/>
      <c r="BG65" s="568" t="str">
        <f>+BH68</f>
        <v>Spray Galvanizado</v>
      </c>
      <c r="BH65" s="569"/>
      <c r="BI65" s="569"/>
      <c r="BJ65" s="569"/>
      <c r="BL65" s="577" t="s">
        <v>210</v>
      </c>
      <c r="BM65" s="577"/>
      <c r="BN65" s="577"/>
      <c r="BO65" s="577"/>
      <c r="BQ65" s="574" t="str">
        <f>+BR68</f>
        <v>Varilla 7.5 mm x 12 m</v>
      </c>
      <c r="BR65" s="574"/>
      <c r="BS65" s="574"/>
    </row>
    <row r="66" spans="1:71">
      <c r="A66" s="152" t="str">
        <f>+IF(Ingresar!D23="N",IF(C66=M4,A69,"ERROR")," ")</f>
        <v>ERROR</v>
      </c>
      <c r="B66" s="222" t="str">
        <f>+B69</f>
        <v>CercasPro Urb 2.08x2.50m Verde</v>
      </c>
      <c r="C66" s="157">
        <f>+C69</f>
        <v>2.08</v>
      </c>
      <c r="D66" s="152" t="e">
        <f>+IF(C66=M35,D69,IF(C66=M36,#REF!,IF(C66=M38,#REF!,IF(C66=M39,#REF!,IF(C66=M40,#REF!)))))</f>
        <v>#N/A</v>
      </c>
      <c r="E66" s="152" t="e">
        <f>+IF(C66=M35,E69,IF(C66=M36,#REF!,IF(C66=M38,#REF!,IF(C66=M39,#REF!,IF(C66=M40,#REF!)))))</f>
        <v>#N/A</v>
      </c>
      <c r="F66" s="157">
        <f>+F69</f>
        <v>15.426</v>
      </c>
      <c r="G66" s="155">
        <f>+G69</f>
        <v>90.39</v>
      </c>
      <c r="H66" s="155">
        <f>+H69</f>
        <v>90.39</v>
      </c>
      <c r="J66" s="222">
        <f>+IF(Ingreso!D23="N",J69," ")</f>
        <v>667702</v>
      </c>
      <c r="K66" s="222" t="str">
        <f t="shared" ref="K66:Q66" si="7">+K69</f>
        <v>PostePro Urb 60x40x1,25x2.60m  Plinto/Verde</v>
      </c>
      <c r="L66" s="222" t="str">
        <f t="shared" si="7"/>
        <v>60 x 40</v>
      </c>
      <c r="M66" s="157">
        <f t="shared" si="7"/>
        <v>0.55000000000000004</v>
      </c>
      <c r="N66" s="157">
        <f t="shared" si="7"/>
        <v>2.6</v>
      </c>
      <c r="O66" s="157">
        <f t="shared" si="7"/>
        <v>5.0439999999999996</v>
      </c>
      <c r="P66" s="155">
        <f t="shared" si="7"/>
        <v>37.61</v>
      </c>
      <c r="Q66" s="155">
        <f t="shared" si="7"/>
        <v>37.61</v>
      </c>
      <c r="AA66" s="159">
        <f>+IF(Ingreso!D23="N",AA69," ")</f>
        <v>667706</v>
      </c>
      <c r="AB66" s="87" t="str">
        <f>+AB69</f>
        <v>Fijacion Urb 37x29x7x2,5 P1/4 Verde</v>
      </c>
      <c r="AC66" s="95">
        <f>+AC69</f>
        <v>5</v>
      </c>
      <c r="AD66" s="164">
        <f>+AD69</f>
        <v>1.07</v>
      </c>
      <c r="AE66" s="164">
        <f>+AE69</f>
        <v>1.07</v>
      </c>
      <c r="AG66" s="159">
        <f>+IF(Ingreso!D23="N",AG69," ")</f>
        <v>270502</v>
      </c>
      <c r="AH66" s="87" t="str">
        <f>+AH69</f>
        <v xml:space="preserve">Perno coche 1/4"X3" INOX 316 CHN </v>
      </c>
      <c r="AI66" s="95"/>
      <c r="AJ66" s="164">
        <f>+AJ69</f>
        <v>0.93</v>
      </c>
      <c r="AK66" s="164">
        <f>+AK69</f>
        <v>0.93</v>
      </c>
      <c r="AM66" s="159">
        <f>+IF(Ingreso!D23="N",AM69," ")</f>
        <v>270504</v>
      </c>
      <c r="AN66" s="87" t="str">
        <f>+AN69</f>
        <v>Tuerca Seg.Emb.Autor.INOX 1/4 X19mm</v>
      </c>
      <c r="AO66" s="164">
        <f>+AO69</f>
        <v>2.5</v>
      </c>
      <c r="AP66" s="164">
        <f>+AP69</f>
        <v>2.5</v>
      </c>
      <c r="AR66" s="159">
        <f>+IF(Ingreso!D23="N",AR69," ")</f>
        <v>667705</v>
      </c>
      <c r="AS66" s="87" t="str">
        <f>+AS69</f>
        <v xml:space="preserve">ProTapa Plastica Gris 60x40mm </v>
      </c>
      <c r="AT66" s="164">
        <f>+AT69</f>
        <v>0.81</v>
      </c>
      <c r="AU66" s="164">
        <f>+AU69</f>
        <v>0.81</v>
      </c>
      <c r="AW66" s="159">
        <f>+IF(Ingreso!D23="N",AW69," ")</f>
        <v>270501</v>
      </c>
      <c r="AX66" s="87" t="str">
        <f>+AX69</f>
        <v>Perno coche 1/4"X2 1/2" INOX 316 CHN</v>
      </c>
      <c r="AY66" s="164">
        <f>+AY69</f>
        <v>0.87915611814345995</v>
      </c>
      <c r="AZ66" s="164">
        <f>+AZ69</f>
        <v>0.87915611814345995</v>
      </c>
      <c r="BB66" s="159">
        <f>+IF(Ingreso!D23="N",BB69," ")</f>
        <v>189205</v>
      </c>
      <c r="BC66" s="159" t="str">
        <f>+BC69</f>
        <v>SPRAY VERDE 077 SEYER</v>
      </c>
      <c r="BD66" s="164">
        <f>+BD69</f>
        <v>4.2724850099933374</v>
      </c>
      <c r="BE66" s="164">
        <f>+BE69</f>
        <v>4.2724850099933374</v>
      </c>
      <c r="BG66" s="159">
        <f>+IF(Ingreso!D23="N",BG69," ")</f>
        <v>683471</v>
      </c>
      <c r="BH66" s="159" t="str">
        <f>+BH69</f>
        <v>SPRAY GALV FRIO</v>
      </c>
      <c r="BI66" s="164">
        <f>+BI69</f>
        <v>22.11</v>
      </c>
      <c r="BJ66" s="164">
        <f>+BJ69</f>
        <v>37.517039922103216</v>
      </c>
      <c r="BL66" s="159">
        <f>+IF(Ingreso!D23="N",BL69," ")</f>
        <v>689168</v>
      </c>
      <c r="BM66" s="159" t="str">
        <f>+BM69</f>
        <v xml:space="preserve">Brazo puas Urb inclinado 60x40x1,5x455 VER </v>
      </c>
      <c r="BN66" s="164">
        <f>+BN69</f>
        <v>22.88</v>
      </c>
      <c r="BO66" s="164">
        <f>+BO69</f>
        <v>22.88</v>
      </c>
      <c r="BQ66" s="87">
        <f>+IF(Ingresar!D23="N",IF($A$36=Z69,BQ69,IF(Z66=Z70,BQ69,IF(Z66=Z88,BQ69,IF(Z66=#REF!,BQ69,IF(Z66=#REF!,BQ69)))))," ")</f>
        <v>188560</v>
      </c>
      <c r="BR66" s="159" t="str">
        <f>+BR69</f>
        <v>Varilla 7.5 mm x 12 m</v>
      </c>
      <c r="BS66" s="164">
        <f>ROUND(BS69*(1-Ingreso!H29),2)</f>
        <v>7.02</v>
      </c>
    </row>
    <row r="68" spans="1:71">
      <c r="A68" s="150" t="s">
        <v>1</v>
      </c>
      <c r="B68" s="150" t="s">
        <v>185</v>
      </c>
      <c r="C68" s="150" t="s">
        <v>183</v>
      </c>
      <c r="D68" s="150" t="s">
        <v>186</v>
      </c>
      <c r="E68" s="150" t="s">
        <v>187</v>
      </c>
      <c r="F68" s="150" t="s">
        <v>182</v>
      </c>
      <c r="G68" s="192" t="s">
        <v>218</v>
      </c>
      <c r="H68" s="150" t="s">
        <v>188</v>
      </c>
      <c r="J68" s="150" t="s">
        <v>1</v>
      </c>
      <c r="K68" s="150" t="s">
        <v>185</v>
      </c>
      <c r="L68" s="153" t="s">
        <v>191</v>
      </c>
      <c r="M68" s="153" t="s">
        <v>198</v>
      </c>
      <c r="N68" s="153" t="s">
        <v>192</v>
      </c>
      <c r="O68" s="153" t="s">
        <v>182</v>
      </c>
      <c r="P68" s="153" t="s">
        <v>184</v>
      </c>
      <c r="Q68" s="150" t="s">
        <v>188</v>
      </c>
      <c r="AA68" s="150" t="s">
        <v>1</v>
      </c>
      <c r="AB68" s="150" t="s">
        <v>185</v>
      </c>
      <c r="AC68" s="150" t="s">
        <v>200</v>
      </c>
      <c r="AD68" s="150" t="s">
        <v>184</v>
      </c>
      <c r="AE68" s="150" t="s">
        <v>188</v>
      </c>
      <c r="AG68" s="150" t="s">
        <v>1</v>
      </c>
      <c r="AH68" s="150" t="s">
        <v>185</v>
      </c>
      <c r="AI68" s="150"/>
      <c r="AJ68" s="150" t="s">
        <v>184</v>
      </c>
      <c r="AK68" s="150" t="s">
        <v>188</v>
      </c>
      <c r="AM68" s="150" t="s">
        <v>1</v>
      </c>
      <c r="AN68" s="150" t="s">
        <v>185</v>
      </c>
      <c r="AO68" s="150" t="s">
        <v>184</v>
      </c>
      <c r="AP68" s="150" t="s">
        <v>188</v>
      </c>
      <c r="AR68" s="150" t="s">
        <v>1</v>
      </c>
      <c r="AS68" s="150" t="s">
        <v>185</v>
      </c>
      <c r="AT68" s="150" t="s">
        <v>184</v>
      </c>
      <c r="AU68" s="150" t="s">
        <v>188</v>
      </c>
      <c r="AW68" s="150" t="s">
        <v>1</v>
      </c>
      <c r="AX68" s="150" t="s">
        <v>185</v>
      </c>
      <c r="AY68" s="150" t="s">
        <v>184</v>
      </c>
      <c r="AZ68" s="150" t="s">
        <v>188</v>
      </c>
      <c r="BB68" s="166" t="s">
        <v>1</v>
      </c>
      <c r="BC68" s="171" t="s">
        <v>213</v>
      </c>
      <c r="BD68" s="166" t="s">
        <v>184</v>
      </c>
      <c r="BE68" s="166" t="s">
        <v>188</v>
      </c>
      <c r="BG68" s="166" t="s">
        <v>1</v>
      </c>
      <c r="BH68" s="171" t="s">
        <v>214</v>
      </c>
      <c r="BI68" s="166" t="s">
        <v>184</v>
      </c>
      <c r="BJ68" s="166" t="s">
        <v>188</v>
      </c>
      <c r="BL68" s="168" t="s">
        <v>1</v>
      </c>
      <c r="BM68" s="172" t="s">
        <v>210</v>
      </c>
      <c r="BN68" s="168" t="s">
        <v>184</v>
      </c>
      <c r="BO68" s="168" t="s">
        <v>188</v>
      </c>
      <c r="BQ68" s="175" t="s">
        <v>1</v>
      </c>
      <c r="BR68" s="43" t="s">
        <v>221</v>
      </c>
      <c r="BS68" s="175" t="s">
        <v>184</v>
      </c>
    </row>
    <row r="69" spans="1:71">
      <c r="A69" s="149">
        <f>+CP_2026!B18</f>
        <v>667701</v>
      </c>
      <c r="B69" s="149" t="str">
        <f>+CP_2026!C18</f>
        <v>CercasPro Urb 2.08x2.50m Verde</v>
      </c>
      <c r="C69" s="151">
        <v>2.08</v>
      </c>
      <c r="D69" s="95"/>
      <c r="E69" s="95"/>
      <c r="F69" s="151">
        <f>+CP_2026!D18</f>
        <v>15.426</v>
      </c>
      <c r="G69" s="151">
        <f>+CP_2026!L18</f>
        <v>90.39</v>
      </c>
      <c r="H69" s="151">
        <f>+IF($E$56=$I$3,ROUND(G69*(1-$J$3),2),IF($E$56=$I$4,ROUND(G69*(1-$J$4),2),IF($E$56=$I$5,ROUND(G69*(1-$J$5),2),IF($E$56=$I$6,ROUND(G69*(1-$J$6),2),IF($E$56=$I$7,ROUND(G69*(1-$J$7),2),IF($E$56=$I$8,ROUND(G69*(1-$J$8),2),G69))))))</f>
        <v>90.39</v>
      </c>
      <c r="J69" s="149">
        <f>+CP_2026!B19</f>
        <v>667702</v>
      </c>
      <c r="K69" s="149" t="str">
        <f>+CP_2026!C19</f>
        <v>PostePro Urb 60x40x1,25x2.60m  Plinto/Verde</v>
      </c>
      <c r="L69" s="149" t="s">
        <v>238</v>
      </c>
      <c r="M69" s="151">
        <v>0.55000000000000004</v>
      </c>
      <c r="N69" s="151">
        <v>2.6</v>
      </c>
      <c r="O69" s="151">
        <f>+CP_2026!D19</f>
        <v>5.0439999999999996</v>
      </c>
      <c r="P69" s="154">
        <f>+CP_2026!L19</f>
        <v>37.61</v>
      </c>
      <c r="Q69" s="156">
        <f>+IF($E$56=$I$3,ROUND(P69*(1-$J$3),2),IF($E$56=$I$4,ROUND(P69*(1-$J$4),2),IF($E$56=$I$5,ROUND(P69*(1-$J$5),2),IF($E$56=$I$6,ROUND(P69*(1-$J$6),2),IF($E$56=$I$7,ROUND(P69*(1-$J$7),2),IF($E$56=$I$8,ROUND(P69*(1-$J$8),2),P69))))))</f>
        <v>37.61</v>
      </c>
      <c r="AA69" s="223">
        <f>+CP_2026!B21</f>
        <v>667706</v>
      </c>
      <c r="AB69" s="224" t="str">
        <f>+CP_2026!C21</f>
        <v>Fijacion Urb 37x29x7x2,5 P1/4 Verde</v>
      </c>
      <c r="AC69" s="163">
        <v>5</v>
      </c>
      <c r="AD69" s="225">
        <f>+CP_2026!L21</f>
        <v>1.07</v>
      </c>
      <c r="AE69" s="225">
        <f>+IF($E$56=$I$3,ROUND(AD69*(1-$J$3),2),IF($E$56=$I$4,ROUND(AD69*(1-$J$4),2),IF($E$56=$I$5,ROUND(AD69*(1-$J$5),2),IF($E$56=$I$6,ROUND(AD69*(1-$J$6),2),IF($E$56=$I$7,ROUND(AD69*(1-$J$7),2),IF($E$56=$I$8,ROUND(AD69*(1-$J$8),2),AD69))))))</f>
        <v>1.07</v>
      </c>
      <c r="AG69" s="223">
        <f>+CP_2026!B23</f>
        <v>270502</v>
      </c>
      <c r="AH69" s="223" t="str">
        <f>+CP_2026!C23</f>
        <v xml:space="preserve">Perno coche 1/4"X3" INOX 316 CHN </v>
      </c>
      <c r="AI69" s="163"/>
      <c r="AJ69" s="225">
        <f>+CP_2026!L23</f>
        <v>0.93</v>
      </c>
      <c r="AK69" s="225">
        <f>+IF($E$56=$I$3,ROUND(AJ69*(1-$J$3),2),IF($E$56=$I$4,ROUND(AJ69*(1-$J$4),2),IF($E$56=$I$5,ROUND(AJ69*(1-$J$5),2),IF($E$56=$I$6,ROUND(AJ69*(1-$J$6),2),IF($E$56=$I$7,ROUND(AJ69*(1-$J$7),2),IF($E$56=$I$8,ROUND(AJ69*(1-$J$8),2),AJ69))))))</f>
        <v>0.93</v>
      </c>
      <c r="AM69" s="223">
        <f>+CP_2026!B24</f>
        <v>270504</v>
      </c>
      <c r="AN69" s="224" t="str">
        <f>+CP_2026!C24</f>
        <v>Tuerca Seg.Emb.Autor.INOX 1/4 X19mm</v>
      </c>
      <c r="AO69" s="225">
        <f>+CP_2026!L24</f>
        <v>2.5</v>
      </c>
      <c r="AP69" s="225">
        <f>+IF($E$56=$I$3,ROUND(AO69*(1-$J$3),2),IF($E$56=$I$4,ROUND(AO69*(1-$J$4),2),IF($E$56=$I$5,ROUND(AO69*(1-$J$5),2),IF($E$56=$I$6,ROUND(AO69*(1-$J$6),2),IF($E$56=$I$7,ROUND(AO69*(1-$J$7),2),IF($E$56=$I$8,ROUND(AO69*(1-$J$8),2),AO69))))))</f>
        <v>2.5</v>
      </c>
      <c r="AR69" s="223">
        <f>+CP_2026!B20</f>
        <v>667705</v>
      </c>
      <c r="AS69" s="224" t="str">
        <f>+CP_2026!C20</f>
        <v xml:space="preserve">ProTapa Plastica Gris 60x40mm </v>
      </c>
      <c r="AT69" s="225">
        <f>+CP_2026!L20</f>
        <v>0.81</v>
      </c>
      <c r="AU69" s="225">
        <f>+IF($E$56=$I$3,ROUND(AT69*(1-$J$3),2),IF($E$56=$I$4,ROUND(AT69*(1-$J$4),2),IF($E$56=$I$5,ROUND(AT69*(1-$J$5),2),IF($E$56=$I$6,ROUND(AT69*(1-$J$6),2),IF($E$56=$I$7,ROUND(AT69*(1-$J$7),2),IF($E$56=$I$8,ROUND(AT69*(1-$J$8),2),AT69))))))</f>
        <v>0.81</v>
      </c>
      <c r="AW69" s="223">
        <f>+CP_2026!B22</f>
        <v>270501</v>
      </c>
      <c r="AX69" s="224" t="str">
        <f>+CP_2026!C22</f>
        <v>Perno coche 1/4"X2 1/2" INOX 316 CHN</v>
      </c>
      <c r="AY69" s="225">
        <f>+CP_2026!L22</f>
        <v>0.87915611814345995</v>
      </c>
      <c r="AZ69" s="225">
        <f>+IF($E$56=$I$3,ROUND(AY69*(1-$J$3),2),IF($E$56=$I$4,ROUND(AY69*(1-$J$4),2),IF($E$56=$I$5,ROUND(AY69*(1-$J$5),2),IF($E$56=$I$6,ROUND(AY69*(1-$J$6),2),IF($E$56=$I$7,ROUND(AY69*(1-$J$7),2),IF($E$56=$I$8,ROUND(AY69*(1-$J$8),2),AY69))))))</f>
        <v>0.87915611814345995</v>
      </c>
      <c r="BB69" s="149">
        <f>+CP_2026!B52</f>
        <v>189205</v>
      </c>
      <c r="BC69" s="149" t="str">
        <f>+CP_2026!C52</f>
        <v>SPRAY VERDE 077 SEYER</v>
      </c>
      <c r="BD69" s="164">
        <f>+CP_2026!L52</f>
        <v>4.2724850099933374</v>
      </c>
      <c r="BE69" s="164">
        <f>+IF($E$10=$I$3,ROUND(BS39*(1-$J$3),2),IF($E$10=$I$4,ROUND(BS39*(1-$J$4),2),IF($E$10=$I$5,ROUND(BS39*(1-$J$5),2),IF($E$10=$I$6,ROUND(BS39*(1-$J$6),2),IF($E$10=$I$7,ROUND(BS39*(1-$J$7),2),IF($E$10=$I$8,ROUND(BS39*(1-$J$8),2),BS39))))))</f>
        <v>4.2724850099933374</v>
      </c>
      <c r="BG69" s="149">
        <v>683471</v>
      </c>
      <c r="BH69" s="149" t="s">
        <v>63</v>
      </c>
      <c r="BI69" s="164">
        <v>22.11</v>
      </c>
      <c r="BJ69" s="164">
        <f>+IF($E$10=$I$3,ROUND(BX39*(1-$J$3),2),IF($E$10=$I$4,ROUND(BX39*(1-$J$4),2),IF($E$10=$I$5,ROUND(BX39*(1-$J$5),2),IF($E$10=$I$6,ROUND(BX39*(1-$J$6),2),IF($E$10=$I$7,ROUND(BX39*(1-$J$7),2),IF($E$10=$I$8,ROUND(BX39*(1-$J$8),2),BX39))))))</f>
        <v>37.517039922103216</v>
      </c>
      <c r="BL69" s="159">
        <f>+CP_2026!B25</f>
        <v>689168</v>
      </c>
      <c r="BM69" s="159" t="str">
        <f>+CP_2026!C25</f>
        <v xml:space="preserve">Brazo puas Urb inclinado 60x40x1,5x455 VER </v>
      </c>
      <c r="BN69" s="156">
        <f>+CP_2026!L25</f>
        <v>22.88</v>
      </c>
      <c r="BO69" s="156">
        <f>+IF($E$10=$I$3,ROUND(BN69*(1-$J$3),2),IF($E$10=$I$4,ROUND(BN69*(1-$J$4),2),IF($E$10=$I$5,ROUND(BN69*(1-$J$5),2),IF($E$10=$I$6,ROUND(BN69*(1-$J$6),2),IF($E$10=$I$7,ROUND(BN69*(1-$J$7),2),IF($E$10=$I$8,ROUND(BN69*(1-$J$8),2),BN69))))))</f>
        <v>22.88</v>
      </c>
      <c r="BQ69" s="149">
        <v>188560</v>
      </c>
      <c r="BR69" s="149" t="s">
        <v>221</v>
      </c>
      <c r="BS69" s="164">
        <v>7.02</v>
      </c>
    </row>
    <row r="71" spans="1:71" s="148" customFormat="1"/>
    <row r="73" spans="1:71">
      <c r="A73" s="93" t="s">
        <v>102</v>
      </c>
      <c r="M73" s="93"/>
      <c r="N73" s="93"/>
      <c r="O73" s="93"/>
      <c r="P73" s="93"/>
    </row>
    <row r="74" spans="1:71">
      <c r="A74" s="93"/>
    </row>
    <row r="75" spans="1:71">
      <c r="A75" s="93" t="s">
        <v>185</v>
      </c>
      <c r="B75" s="92" t="s">
        <v>160</v>
      </c>
      <c r="E75" t="s">
        <v>139</v>
      </c>
    </row>
    <row r="76" spans="1:71">
      <c r="A76" t="s">
        <v>138</v>
      </c>
      <c r="B76" s="95">
        <f>+Ingresar!D22</f>
        <v>100</v>
      </c>
      <c r="D76" t="s">
        <v>181</v>
      </c>
      <c r="E76" s="149"/>
    </row>
    <row r="77" spans="1:71">
      <c r="A77" t="s">
        <v>179</v>
      </c>
      <c r="B77" s="95">
        <f>(CEILING((B76/1.5),1))</f>
        <v>67</v>
      </c>
      <c r="D77" t="s">
        <v>140</v>
      </c>
      <c r="E77" s="151"/>
    </row>
    <row r="78" spans="1:71">
      <c r="A78" t="s">
        <v>142</v>
      </c>
      <c r="B78" s="95"/>
      <c r="D78" t="s">
        <v>141</v>
      </c>
      <c r="E78" s="226"/>
    </row>
    <row r="79" spans="1:71">
      <c r="A79" t="s">
        <v>132</v>
      </c>
      <c r="B79" s="95"/>
      <c r="D79" t="s">
        <v>142</v>
      </c>
      <c r="E79" s="95"/>
    </row>
    <row r="80" spans="1:71">
      <c r="A80" t="s">
        <v>133</v>
      </c>
      <c r="B80" s="95"/>
    </row>
    <row r="81" spans="1:47">
      <c r="A81" t="s">
        <v>134</v>
      </c>
      <c r="B81" s="95"/>
      <c r="D81" t="s">
        <v>98</v>
      </c>
      <c r="E81" s="220" t="str">
        <f>+Ingresar!H22</f>
        <v>PVS</v>
      </c>
    </row>
    <row r="82" spans="1:47">
      <c r="A82" t="s">
        <v>135</v>
      </c>
      <c r="B82" s="95"/>
      <c r="D82" t="s">
        <v>128</v>
      </c>
      <c r="E82" s="220"/>
    </row>
    <row r="83" spans="1:47">
      <c r="A83" t="s">
        <v>136</v>
      </c>
      <c r="B83" s="95"/>
      <c r="E83" s="97"/>
    </row>
    <row r="84" spans="1:47">
      <c r="A84" s="94" t="s">
        <v>137</v>
      </c>
      <c r="B84" s="95"/>
      <c r="E84" s="97"/>
    </row>
    <row r="85" spans="1:47">
      <c r="A85" t="s">
        <v>213</v>
      </c>
      <c r="B85" s="95">
        <f>+IF(B76&lt;25,1,ROUNDUP(B76/25,0))</f>
        <v>4</v>
      </c>
      <c r="D85" t="s">
        <v>237</v>
      </c>
      <c r="E85" s="221">
        <f>+E60</f>
        <v>0</v>
      </c>
    </row>
    <row r="86" spans="1:47">
      <c r="A86" t="s">
        <v>214</v>
      </c>
      <c r="B86" s="95"/>
    </row>
    <row r="87" spans="1:47">
      <c r="A87" t="s">
        <v>391</v>
      </c>
      <c r="B87" s="95">
        <f>ROUNDUP(((B76/1.5)),0)</f>
        <v>67</v>
      </c>
    </row>
    <row r="90" spans="1:47">
      <c r="A90" s="578" t="s">
        <v>197</v>
      </c>
      <c r="B90" s="578"/>
      <c r="C90" s="578"/>
      <c r="D90" s="578"/>
      <c r="E90" s="578"/>
      <c r="F90" s="578"/>
      <c r="G90" s="578"/>
      <c r="H90" s="578"/>
      <c r="J90" s="579" t="s">
        <v>239</v>
      </c>
      <c r="K90" s="579"/>
      <c r="L90" s="579"/>
      <c r="M90" s="579"/>
      <c r="N90" s="579"/>
      <c r="O90" s="579"/>
      <c r="P90" s="579"/>
      <c r="Q90" s="579"/>
      <c r="S90" s="575" t="s">
        <v>240</v>
      </c>
      <c r="T90" s="575"/>
      <c r="U90" s="575"/>
      <c r="V90" s="575"/>
      <c r="AA90" s="584" t="s">
        <v>241</v>
      </c>
      <c r="AB90" s="584"/>
      <c r="AC90" s="584"/>
      <c r="AD90" s="584"/>
      <c r="AG90" s="583" t="s">
        <v>242</v>
      </c>
      <c r="AH90" s="583"/>
      <c r="AI90" s="583"/>
      <c r="AJ90" s="583"/>
      <c r="AM90" s="568" t="str">
        <f>+AN93</f>
        <v>Spray verde</v>
      </c>
      <c r="AN90" s="569"/>
      <c r="AO90" s="569"/>
      <c r="AP90" s="569"/>
      <c r="AR90" s="568" t="str">
        <f>+AS93</f>
        <v>Spray Galvanizado</v>
      </c>
      <c r="AS90" s="569"/>
      <c r="AT90" s="569"/>
      <c r="AU90" s="569"/>
    </row>
    <row r="91" spans="1:47">
      <c r="A91" s="222">
        <f>+A95</f>
        <v>270428</v>
      </c>
      <c r="B91" s="222" t="str">
        <f>+B95</f>
        <v>Pro Intradom 1,25x1,50m Verde</v>
      </c>
      <c r="C91" s="157">
        <f>+C95</f>
        <v>1.25</v>
      </c>
      <c r="D91" s="152" t="b">
        <f>+IF(C91=M60,D95,IF(C91=M61,#REF!,IF(C91=M63,#REF!,IF(C91=M64,#REF!,IF(C91=M65,#REF!)))))</f>
        <v>0</v>
      </c>
      <c r="E91" s="152" t="b">
        <f>+IF(C91=M60,E95,IF(C91=M61,#REF!,IF(C91=M63,#REF!,IF(C91=M64,#REF!,IF(C91=M65,#REF!)))))</f>
        <v>0</v>
      </c>
      <c r="F91" s="157">
        <f>+F95</f>
        <v>4.97</v>
      </c>
      <c r="G91" s="155">
        <f>+G95</f>
        <v>32.909999999999997</v>
      </c>
      <c r="H91" s="155">
        <f>+H95</f>
        <v>32.909999999999997</v>
      </c>
      <c r="J91" s="222">
        <f t="shared" ref="J91:Q91" si="8">+J94</f>
        <v>270430</v>
      </c>
      <c r="K91" s="222" t="str">
        <f t="shared" si="8"/>
        <v>Pro Intradom Kit Poste 1.70 Verde</v>
      </c>
      <c r="L91" s="222">
        <f t="shared" si="8"/>
        <v>0</v>
      </c>
      <c r="M91" s="157">
        <f t="shared" si="8"/>
        <v>0</v>
      </c>
      <c r="N91" s="157">
        <f t="shared" si="8"/>
        <v>1.7</v>
      </c>
      <c r="O91" s="157">
        <f t="shared" si="8"/>
        <v>2.3199999999999998</v>
      </c>
      <c r="P91" s="155">
        <f t="shared" si="8"/>
        <v>34.85</v>
      </c>
      <c r="Q91" s="155">
        <f t="shared" si="8"/>
        <v>34.85</v>
      </c>
      <c r="S91" s="149">
        <f>+S94</f>
        <v>270433</v>
      </c>
      <c r="T91" s="149" t="str">
        <f>+T94</f>
        <v>Pro Intradom Kit Puerta Verde</v>
      </c>
      <c r="U91" s="154">
        <f>+U94</f>
        <v>149.07</v>
      </c>
      <c r="V91" s="154">
        <f>+V94</f>
        <v>149.07</v>
      </c>
      <c r="AA91" s="149">
        <f>+AA94</f>
        <v>189158</v>
      </c>
      <c r="AB91" s="149" t="str">
        <f>+AB94</f>
        <v>Pro Intradom Set Abrazadera 6Pack Verde</v>
      </c>
      <c r="AC91" s="154">
        <f>+AC94</f>
        <v>23.96</v>
      </c>
      <c r="AD91" s="154">
        <f>+AD94</f>
        <v>23.96</v>
      </c>
      <c r="AG91" s="149">
        <f>+AG94</f>
        <v>189159</v>
      </c>
      <c r="AH91" s="149" t="str">
        <f>+AH94</f>
        <v>Pro Intradom Set Tapa 6Pack Verde</v>
      </c>
      <c r="AI91" s="154">
        <f>+AI94</f>
        <v>1.6</v>
      </c>
      <c r="AJ91" s="154">
        <f>+AJ94</f>
        <v>1.6</v>
      </c>
      <c r="AM91" s="159">
        <f>+AM94</f>
        <v>189205</v>
      </c>
      <c r="AN91" s="159" t="str">
        <f>+AN94</f>
        <v>SPRAY VERDE 077 SEYER</v>
      </c>
      <c r="AO91" s="164">
        <f>+AO94</f>
        <v>4.2724850099933374</v>
      </c>
      <c r="AP91" s="164">
        <f>+AP94</f>
        <v>4.2724850099933374</v>
      </c>
      <c r="AR91" s="159">
        <f>+AR94</f>
        <v>683471</v>
      </c>
      <c r="AS91" s="159" t="str">
        <f>+AS94</f>
        <v>SPRAY GALV FRIO</v>
      </c>
      <c r="AT91" s="164">
        <f>+AT94</f>
        <v>37.517039922103216</v>
      </c>
      <c r="AU91" s="164">
        <f>+AU94</f>
        <v>37.517039922103216</v>
      </c>
    </row>
    <row r="93" spans="1:47">
      <c r="A93" s="150" t="s">
        <v>1</v>
      </c>
      <c r="B93" s="150" t="s">
        <v>185</v>
      </c>
      <c r="C93" s="150" t="s">
        <v>183</v>
      </c>
      <c r="D93" s="150" t="s">
        <v>186</v>
      </c>
      <c r="E93" s="150" t="s">
        <v>187</v>
      </c>
      <c r="F93" s="150" t="s">
        <v>182</v>
      </c>
      <c r="G93" s="192" t="s">
        <v>218</v>
      </c>
      <c r="H93" s="150" t="s">
        <v>188</v>
      </c>
      <c r="J93" s="150" t="s">
        <v>1</v>
      </c>
      <c r="K93" s="150" t="s">
        <v>185</v>
      </c>
      <c r="L93" s="153" t="s">
        <v>191</v>
      </c>
      <c r="M93" s="153" t="s">
        <v>198</v>
      </c>
      <c r="N93" s="153" t="s">
        <v>192</v>
      </c>
      <c r="O93" s="153" t="s">
        <v>182</v>
      </c>
      <c r="P93" s="153" t="s">
        <v>184</v>
      </c>
      <c r="Q93" s="150" t="s">
        <v>188</v>
      </c>
      <c r="S93" s="167" t="s">
        <v>1</v>
      </c>
      <c r="T93" s="167" t="s">
        <v>240</v>
      </c>
      <c r="U93" s="167" t="s">
        <v>184</v>
      </c>
      <c r="V93" s="167" t="s">
        <v>188</v>
      </c>
      <c r="AA93" s="158" t="s">
        <v>1</v>
      </c>
      <c r="AB93" s="158" t="s">
        <v>241</v>
      </c>
      <c r="AC93" s="158" t="s">
        <v>184</v>
      </c>
      <c r="AD93" s="158" t="s">
        <v>188</v>
      </c>
      <c r="AG93" s="167" t="s">
        <v>1</v>
      </c>
      <c r="AH93" s="167" t="s">
        <v>242</v>
      </c>
      <c r="AI93" s="167" t="s">
        <v>184</v>
      </c>
      <c r="AJ93" s="167" t="s">
        <v>188</v>
      </c>
      <c r="AM93" s="166" t="s">
        <v>1</v>
      </c>
      <c r="AN93" s="171" t="s">
        <v>213</v>
      </c>
      <c r="AO93" s="166" t="s">
        <v>184</v>
      </c>
      <c r="AP93" s="166" t="s">
        <v>188</v>
      </c>
      <c r="AR93" s="166" t="s">
        <v>1</v>
      </c>
      <c r="AS93" s="171" t="s">
        <v>214</v>
      </c>
      <c r="AT93" s="166" t="s">
        <v>184</v>
      </c>
      <c r="AU93" s="166" t="s">
        <v>188</v>
      </c>
    </row>
    <row r="94" spans="1:47">
      <c r="A94" s="149">
        <f>+CP_2026!B9</f>
        <v>270426</v>
      </c>
      <c r="B94" s="149" t="str">
        <f>+CP_2026!C9</f>
        <v>Pro Intradom 1,25x0,75m Verde</v>
      </c>
      <c r="C94" s="151">
        <v>1.25</v>
      </c>
      <c r="D94" s="95"/>
      <c r="E94" s="95"/>
      <c r="F94" s="151">
        <f>+CP_2026!D9</f>
        <v>2.5499999999999998</v>
      </c>
      <c r="G94" s="151">
        <f>+CP_2026!L9</f>
        <v>16.896000000000001</v>
      </c>
      <c r="H94" s="151">
        <f>+IF($E$81=$I$3,ROUND(G94*(1-$J$3),2),IF($E$81=$I$4,ROUND(G94*(1-$J$4),2),IF($E$81=$I$5,ROUND(G94*(1-$J$5),2),IF($E$81=$I$6,ROUND(G94*(1-$J$6),2),IF($E$81=$I$7,ROUND(G94*(1-$J$7),2),IF($E$81=$I$8,ROUND(G94*(1-$J$8),2),G94))))))</f>
        <v>16.896000000000001</v>
      </c>
      <c r="J94" s="149">
        <f>+CP_2026!B11</f>
        <v>270430</v>
      </c>
      <c r="K94" s="149" t="str">
        <f>+CP_2026!C11</f>
        <v>Pro Intradom Kit Poste 1.70 Verde</v>
      </c>
      <c r="L94" s="149"/>
      <c r="M94" s="151"/>
      <c r="N94" s="151">
        <v>1.7</v>
      </c>
      <c r="O94" s="151">
        <f>+CP_2026!D11</f>
        <v>2.3199999999999998</v>
      </c>
      <c r="P94" s="154">
        <f>+CP_2026!L11</f>
        <v>34.85</v>
      </c>
      <c r="Q94" s="156">
        <f>+IF($E$56=$I$3,ROUND(P94*(1-$J$3),2),IF($E$56=$I$4,ROUND(P94*(1-$J$4),2),IF($E$56=$I$5,ROUND(P94*(1-$J$5),2),IF($E$56=$I$6,ROUND(P94*(1-$J$6),2),IF($E$56=$I$7,ROUND(P94*(1-$J$7),2),IF($E$56=$I$8,ROUND(P94*(1-$J$8),2),P94))))))</f>
        <v>34.85</v>
      </c>
      <c r="S94" s="149">
        <f>+CP_2026!B12</f>
        <v>270433</v>
      </c>
      <c r="T94" s="149" t="str">
        <f>+CP_2026!C12</f>
        <v>Pro Intradom Kit Puerta Verde</v>
      </c>
      <c r="U94" s="154">
        <f>+CP_2026!L12</f>
        <v>149.07</v>
      </c>
      <c r="V94" s="154">
        <f>+IF($E$10=$I$3,ROUND(U94*(1-$J$3),2),IF($E$10=$I$4,ROUND(U94*(1-$J$4),2),IF($E$10=$I$5,ROUND(U94*(1-$J$5),2),IF($E$10=$I$6,ROUND(U94*(1-$J$6),2),IF($E$10=$I$7,ROUND(U94*(1-$J$7),2),IF($E$10=$I$8,ROUND(U94*(1-$J$8),2),U94))))))</f>
        <v>149.07</v>
      </c>
      <c r="AA94" s="149">
        <f>+CP_2026!B14</f>
        <v>189158</v>
      </c>
      <c r="AB94" s="149" t="str">
        <f>+CP_2026!C14</f>
        <v>Pro Intradom Set Abrazadera 6Pack Verde</v>
      </c>
      <c r="AC94" s="154">
        <f>+CP_2026!L14</f>
        <v>23.96</v>
      </c>
      <c r="AD94" s="154">
        <f>+IF($E$10=$I$3,ROUND(AC94*(1-$J$3),2),IF($E$10=$I$4,ROUND(AC94*(1-$J$4),2),IF($E$10=$I$5,ROUND(AC94*(1-$J$5),2),IF($E$10=$I$6,ROUND(AC94*(1-$J$6),2),IF($E$10=$I$7,ROUND(AC94*(1-$J$7),2),IF($E$10=$I$8,ROUND(AC94*(1-$J$8),2),AC94))))))</f>
        <v>23.96</v>
      </c>
      <c r="AG94" s="149">
        <f>+CP_2026!B13</f>
        <v>189159</v>
      </c>
      <c r="AH94" s="149" t="str">
        <f>+CP_2026!C13</f>
        <v>Pro Intradom Set Tapa 6Pack Verde</v>
      </c>
      <c r="AI94" s="154">
        <f>+CP_2026!L13</f>
        <v>1.6</v>
      </c>
      <c r="AJ94" s="154">
        <f>+IF($E$10=$I$3,ROUND(AI94*(1-$J$3),2),IF($E$10=$I$4,ROUND(AI94*(1-$J$4),2),IF($E$10=$I$5,ROUND(AI94*(1-$J$5),2),IF($E$10=$I$6,ROUND(AI94*(1-$J$6),2),IF($E$10=$I$7,ROUND(AI94*(1-$J$7),2),IF($E$10=$I$8,ROUND(AI94*(1-$J$8),2),AI94))))))</f>
        <v>1.6</v>
      </c>
      <c r="AM94" s="149">
        <f>+CP_2026!B52</f>
        <v>189205</v>
      </c>
      <c r="AN94" s="149" t="str">
        <f>+CP_2026!C52</f>
        <v>SPRAY VERDE 077 SEYER</v>
      </c>
      <c r="AO94" s="164">
        <f>+CP_2026!L52</f>
        <v>4.2724850099933374</v>
      </c>
      <c r="AP94" s="154">
        <f>+IF($E$10=$I$3,ROUND(AO94*(1-$J$3),2),IF($E$10=$I$4,ROUND(AO94*(1-$J$4),2),IF($E$10=$I$5,ROUND(AO94*(1-$J$5),2),IF($E$10=$I$6,ROUND(AO94*(1-$J$6),2),IF($E$10=$I$7,ROUND(AO94*(1-$J$7),2),IF($E$10=$I$8,ROUND(AO94*(1-$J$8),2),AO94))))))</f>
        <v>4.2724850099933374</v>
      </c>
      <c r="AR94" s="149">
        <f>+CP_2026!B53</f>
        <v>683471</v>
      </c>
      <c r="AS94" s="149" t="str">
        <f>+CP_2026!C53</f>
        <v>SPRAY GALV FRIO</v>
      </c>
      <c r="AT94" s="164">
        <f>+CP_2026!L53</f>
        <v>37.517039922103216</v>
      </c>
      <c r="AU94" s="154">
        <f>+IF($E$10=$I$3,ROUND(AT94*(1-$J$3),2),IF($E$10=$I$4,ROUND(AT94*(1-$J$4),2),IF($E$10=$I$5,ROUND(AT94*(1-$J$5),2),IF($E$10=$I$6,ROUND(AT94*(1-$J$6),2),IF($E$10=$I$7,ROUND(AT94*(1-$J$7),2),IF($E$10=$I$8,ROUND(AT94*(1-$J$8),2),AT94))))))</f>
        <v>37.517039922103216</v>
      </c>
    </row>
    <row r="95" spans="1:47">
      <c r="A95" s="149">
        <f>+CP_2026!B10</f>
        <v>270428</v>
      </c>
      <c r="B95" s="149" t="str">
        <f>+CP_2026!C10</f>
        <v>Pro Intradom 1,25x1,50m Verde</v>
      </c>
      <c r="C95" s="95">
        <v>1.25</v>
      </c>
      <c r="D95" s="95"/>
      <c r="E95" s="95"/>
      <c r="F95" s="151">
        <f>+CP_2026!D10</f>
        <v>4.97</v>
      </c>
      <c r="G95" s="432">
        <f>+CP_2026!L10</f>
        <v>32.909999999999997</v>
      </c>
      <c r="H95" s="151">
        <f>+IF($E$81=$I$3,ROUND(G95*(1-$J$3),2),IF($E$81=$I$4,ROUND(G95*(1-$J$4),2),IF($E$81=$I$5,ROUND(G95*(1-$J$5),2),IF($E$81=$I$6,ROUND(G95*(1-$J$6),2),IF($E$81=$I$7,ROUND(G95*(1-$J$7),2),IF($E$81=$I$8,ROUND(G95*(1-$J$8),2),G95))))))</f>
        <v>32.909999999999997</v>
      </c>
    </row>
    <row r="96" spans="1:47" s="148" customFormat="1"/>
    <row r="98" spans="1:16">
      <c r="A98" s="93" t="s">
        <v>126</v>
      </c>
      <c r="M98" s="93"/>
      <c r="N98" s="93"/>
      <c r="O98" s="93"/>
      <c r="P98" s="93"/>
    </row>
    <row r="99" spans="1:16">
      <c r="A99" s="93"/>
    </row>
    <row r="100" spans="1:16">
      <c r="A100" s="93" t="s">
        <v>185</v>
      </c>
      <c r="B100" s="92" t="s">
        <v>160</v>
      </c>
      <c r="E100" t="s">
        <v>139</v>
      </c>
      <c r="G100" s="176" t="s">
        <v>128</v>
      </c>
    </row>
    <row r="101" spans="1:16">
      <c r="A101" t="s">
        <v>138</v>
      </c>
      <c r="B101" s="95">
        <f>+Ingresar!D22</f>
        <v>100</v>
      </c>
      <c r="D101" t="s">
        <v>181</v>
      </c>
      <c r="E101" s="149"/>
      <c r="G101" s="95">
        <v>2.1</v>
      </c>
    </row>
    <row r="102" spans="1:16">
      <c r="A102" t="s">
        <v>179</v>
      </c>
      <c r="B102" s="95">
        <f>ROUNDUP((B101/2.4),0)</f>
        <v>42</v>
      </c>
      <c r="D102" t="s">
        <v>140</v>
      </c>
      <c r="E102" s="151"/>
      <c r="G102" s="95">
        <v>2.4500000000000002</v>
      </c>
    </row>
    <row r="103" spans="1:16">
      <c r="A103" t="s">
        <v>142</v>
      </c>
      <c r="B103" s="95">
        <f>+E104</f>
        <v>43</v>
      </c>
      <c r="D103" t="s">
        <v>141</v>
      </c>
      <c r="E103" s="226"/>
      <c r="G103" s="95">
        <v>3</v>
      </c>
    </row>
    <row r="104" spans="1:16">
      <c r="A104" t="s">
        <v>132</v>
      </c>
      <c r="B104" s="95">
        <f>+B103</f>
        <v>43</v>
      </c>
      <c r="D104" t="s">
        <v>142</v>
      </c>
      <c r="E104" s="95">
        <f>ROUND(IF(D11="n",(B102+1),(B102+1)*(1+E110)),0)</f>
        <v>43</v>
      </c>
    </row>
    <row r="105" spans="1:16">
      <c r="A105" t="s">
        <v>133</v>
      </c>
      <c r="B105" s="95">
        <f>+B103*8</f>
        <v>344</v>
      </c>
    </row>
    <row r="106" spans="1:16">
      <c r="A106" t="s">
        <v>134</v>
      </c>
      <c r="B106" s="95">
        <f>+B105</f>
        <v>344</v>
      </c>
      <c r="D106" t="s">
        <v>98</v>
      </c>
      <c r="E106" s="220" t="str">
        <f>+Ingresar!H22</f>
        <v>PVS</v>
      </c>
    </row>
    <row r="107" spans="1:16">
      <c r="A107" t="s">
        <v>135</v>
      </c>
      <c r="B107" s="95"/>
      <c r="D107" t="s">
        <v>128</v>
      </c>
      <c r="E107" s="220">
        <f>+Ingresar!E26</f>
        <v>3</v>
      </c>
    </row>
    <row r="108" spans="1:16">
      <c r="A108" t="s">
        <v>136</v>
      </c>
      <c r="B108" s="95"/>
      <c r="E108" s="97"/>
    </row>
    <row r="109" spans="1:16">
      <c r="A109" s="94" t="s">
        <v>137</v>
      </c>
      <c r="B109" s="95">
        <f>+B103</f>
        <v>43</v>
      </c>
      <c r="E109" s="97"/>
    </row>
    <row r="110" spans="1:16">
      <c r="A110" t="s">
        <v>213</v>
      </c>
      <c r="B110" s="95"/>
      <c r="D110" t="s">
        <v>237</v>
      </c>
      <c r="E110" s="221">
        <f>+Ingreso!D25</f>
        <v>0</v>
      </c>
    </row>
    <row r="111" spans="1:16">
      <c r="A111" t="s">
        <v>214</v>
      </c>
      <c r="B111" s="95">
        <f>+IF(B51&lt;50,1,ROUNDUP(B51/100,0))</f>
        <v>1</v>
      </c>
    </row>
    <row r="112" spans="1:16">
      <c r="A112" t="s">
        <v>391</v>
      </c>
      <c r="B112" s="95">
        <f>ROUNDUP(((B101/2.4)),0)</f>
        <v>42</v>
      </c>
    </row>
    <row r="116" spans="1:47">
      <c r="A116" s="578" t="s">
        <v>244</v>
      </c>
      <c r="B116" s="578"/>
      <c r="C116" s="578"/>
      <c r="D116" s="578"/>
      <c r="E116" s="578"/>
      <c r="F116" s="578"/>
      <c r="G116" s="578"/>
      <c r="H116" s="578"/>
      <c r="J116" s="579" t="s">
        <v>239</v>
      </c>
      <c r="K116" s="579"/>
      <c r="L116" s="579"/>
      <c r="M116" s="579"/>
      <c r="N116" s="579"/>
      <c r="O116" s="579"/>
      <c r="P116" s="579"/>
      <c r="Q116" s="579"/>
      <c r="S116" s="575" t="s">
        <v>208</v>
      </c>
      <c r="T116" s="575"/>
      <c r="U116" s="575"/>
      <c r="V116" s="575"/>
      <c r="AA116" s="575" t="s">
        <v>199</v>
      </c>
      <c r="AB116" s="575"/>
      <c r="AC116" s="575"/>
      <c r="AD116" s="575"/>
      <c r="AG116" s="575" t="s">
        <v>246</v>
      </c>
      <c r="AH116" s="575"/>
      <c r="AI116" s="575"/>
      <c r="AJ116" s="575"/>
      <c r="AM116" s="575" t="s">
        <v>247</v>
      </c>
      <c r="AN116" s="575"/>
      <c r="AO116" s="575"/>
      <c r="AP116" s="575"/>
      <c r="AR116" s="568" t="str">
        <f>+AS119</f>
        <v>Spray Galvanizado</v>
      </c>
      <c r="AS116" s="569"/>
      <c r="AT116" s="569"/>
      <c r="AU116" s="569"/>
    </row>
    <row r="117" spans="1:47">
      <c r="A117" s="152">
        <f>+IF(C117=C120,A120,IF(C117=C121,A121,IF(C117=C122,A122)))</f>
        <v>270436</v>
      </c>
      <c r="B117" s="152" t="str">
        <f>+VLOOKUP(A117,A119:H122,2,TRUE)</f>
        <v>Pro Max Seguridad 3,00x2,4m GRIS</v>
      </c>
      <c r="C117" s="152">
        <f>+E107</f>
        <v>3</v>
      </c>
      <c r="D117" s="152" t="b">
        <f>+IF(C117=M84,D120,IF(C117=M85,D121,IF(C117=M87,#REF!,IF(C117=M88,#REF!,IF(C117=M89,#REF!)))))</f>
        <v>0</v>
      </c>
      <c r="E117" s="152" t="b">
        <f>+IF(C117=M84,E120,IF(C117=M85,E121,IF(C117=M87,#REF!,IF(C117=M88,#REF!,IF(C117=M89,#REF!)))))</f>
        <v>0</v>
      </c>
      <c r="F117" s="152" t="b">
        <f>+IF(C117=M84,F120,IF(C117=M85,F121,IF(C117=M87,#REF!,IF(C117=M88,#REF!,IF(C117=M89,#REF!)))))</f>
        <v>0</v>
      </c>
      <c r="G117" s="155">
        <f>+VLOOKUP(A117,A119:H122,7,TRUE)</f>
        <v>405.9</v>
      </c>
      <c r="H117" s="155">
        <f>+VLOOKUP(A117,A119:H122,8,TRUE)</f>
        <v>405.9</v>
      </c>
      <c r="J117" s="152">
        <f>+IF(C117=C120,J120,IF(C117=C121,J121,IF(C117=C122,J122)))</f>
        <v>270439</v>
      </c>
      <c r="K117" s="152" t="str">
        <f>+VLOOKUP(J117,J119:Q122,2,TRUE)</f>
        <v>Pro Max Seguridad Kit Poste 100x50x2 3,60m GRIS</v>
      </c>
      <c r="L117" s="152" t="str">
        <f>+VLOOKUP(J117,J119:Q122,3,TRUE)</f>
        <v>100 X 50</v>
      </c>
      <c r="M117" s="152"/>
      <c r="N117" s="157">
        <f>+VLOOKUP(J117,J119:Q122,5,TRUE)</f>
        <v>3.6</v>
      </c>
      <c r="O117" s="152">
        <f>+VLOOKUP(J117,J119:Q122,6,TRUE)</f>
        <v>18.399999999999999</v>
      </c>
      <c r="P117" s="155">
        <f>+VLOOKUP(J117,J119:Q122,7,TRUE)</f>
        <v>103.5</v>
      </c>
      <c r="Q117" s="155">
        <f>+VLOOKUP(J117,J119:Q122,8,TRUE)</f>
        <v>103.5</v>
      </c>
      <c r="S117" s="149">
        <f>+S120</f>
        <v>270440</v>
      </c>
      <c r="T117" s="149" t="str">
        <f>+T120</f>
        <v>Pro Max Seguridad Tapa PVC Gris 100x50x2 Bekaert</v>
      </c>
      <c r="U117" s="154">
        <f>+U120</f>
        <v>2.42</v>
      </c>
      <c r="V117" s="154">
        <f>+V120</f>
        <v>2.42</v>
      </c>
      <c r="AA117" s="149">
        <f>+AA120</f>
        <v>645392</v>
      </c>
      <c r="AB117" s="149" t="str">
        <f>+AB120</f>
        <v>Pro Max Seguridad Fijación 40x40x11x3 paso 12,7 mm GRIS</v>
      </c>
      <c r="AC117" s="154">
        <f>+AC120</f>
        <v>2.2799999999999998</v>
      </c>
      <c r="AD117" s="154">
        <f>+AD120</f>
        <v>2.2799999999999998</v>
      </c>
      <c r="AG117" s="149">
        <f>+AG120</f>
        <v>645393</v>
      </c>
      <c r="AH117" s="149" t="str">
        <f>+AH120</f>
        <v>Perno coche 1/4"X5" INOX 316 CHN</v>
      </c>
      <c r="AI117" s="154">
        <f>+AI120</f>
        <v>1.1599999999999999</v>
      </c>
      <c r="AJ117" s="154">
        <f>+AJ120</f>
        <v>1.1599999999999999</v>
      </c>
      <c r="AM117" s="149">
        <f>+AM120</f>
        <v>270504</v>
      </c>
      <c r="AN117" s="149" t="str">
        <f>+AN120</f>
        <v>Tuerca Seg.Emb.Autor.INOX 1/4 X19mm</v>
      </c>
      <c r="AO117" s="154">
        <f>+AO120</f>
        <v>2.5</v>
      </c>
      <c r="AP117" s="154">
        <f>+AP120</f>
        <v>2.5</v>
      </c>
      <c r="AR117" s="159">
        <f>+AR120</f>
        <v>683471</v>
      </c>
      <c r="AS117" s="159" t="str">
        <f>+AS120</f>
        <v>SPRAY GALV FRIO</v>
      </c>
      <c r="AT117" s="164">
        <f>+AT120</f>
        <v>37.517039922103216</v>
      </c>
      <c r="AU117" s="164">
        <f>+AU120</f>
        <v>37.517039922103216</v>
      </c>
    </row>
    <row r="119" spans="1:47">
      <c r="A119" s="150" t="s">
        <v>1</v>
      </c>
      <c r="B119" s="150" t="s">
        <v>185</v>
      </c>
      <c r="C119" s="150" t="s">
        <v>183</v>
      </c>
      <c r="D119" s="150" t="s">
        <v>186</v>
      </c>
      <c r="E119" s="150" t="s">
        <v>187</v>
      </c>
      <c r="F119" s="150" t="s">
        <v>182</v>
      </c>
      <c r="G119" s="192" t="s">
        <v>218</v>
      </c>
      <c r="H119" s="150" t="s">
        <v>188</v>
      </c>
      <c r="J119" s="150" t="s">
        <v>1</v>
      </c>
      <c r="K119" s="150" t="s">
        <v>185</v>
      </c>
      <c r="L119" s="153" t="s">
        <v>191</v>
      </c>
      <c r="M119" s="153" t="s">
        <v>198</v>
      </c>
      <c r="N119" s="153" t="s">
        <v>192</v>
      </c>
      <c r="O119" s="153" t="s">
        <v>182</v>
      </c>
      <c r="P119" s="153" t="s">
        <v>184</v>
      </c>
      <c r="Q119" s="150" t="s">
        <v>188</v>
      </c>
      <c r="S119" s="167" t="s">
        <v>1</v>
      </c>
      <c r="T119" s="167" t="s">
        <v>208</v>
      </c>
      <c r="U119" s="167" t="s">
        <v>184</v>
      </c>
      <c r="V119" s="167" t="s">
        <v>188</v>
      </c>
      <c r="AA119" s="167" t="s">
        <v>1</v>
      </c>
      <c r="AB119" s="167" t="s">
        <v>199</v>
      </c>
      <c r="AC119" s="167" t="s">
        <v>184</v>
      </c>
      <c r="AD119" s="167" t="s">
        <v>188</v>
      </c>
      <c r="AG119" s="167" t="s">
        <v>1</v>
      </c>
      <c r="AH119" s="167" t="s">
        <v>246</v>
      </c>
      <c r="AI119" s="167" t="s">
        <v>184</v>
      </c>
      <c r="AJ119" s="167" t="s">
        <v>188</v>
      </c>
      <c r="AM119" s="167" t="s">
        <v>1</v>
      </c>
      <c r="AN119" s="167" t="s">
        <v>205</v>
      </c>
      <c r="AO119" s="167" t="s">
        <v>184</v>
      </c>
      <c r="AP119" s="167" t="s">
        <v>188</v>
      </c>
      <c r="AR119" s="166" t="s">
        <v>1</v>
      </c>
      <c r="AS119" s="171" t="s">
        <v>214</v>
      </c>
      <c r="AT119" s="166" t="s">
        <v>184</v>
      </c>
      <c r="AU119" s="166" t="s">
        <v>188</v>
      </c>
    </row>
    <row r="120" spans="1:47">
      <c r="A120" s="149">
        <f>+CP_2026!B78</f>
        <v>270434</v>
      </c>
      <c r="B120" s="149" t="str">
        <f>+CP_2026!C78</f>
        <v>Pro Max Seguridad 2,10x2,4m GRIS</v>
      </c>
      <c r="C120" s="151">
        <v>2.1</v>
      </c>
      <c r="D120" s="95"/>
      <c r="E120" s="95"/>
      <c r="F120" s="151">
        <f>+CP_2026!D78</f>
        <v>51.62</v>
      </c>
      <c r="G120" s="154">
        <f>+CP_2026!L78</f>
        <v>304.43</v>
      </c>
      <c r="H120" s="154">
        <f>+IF($E$106=$I$3,ROUND(G120*(1-$J$3),2),IF($E$106=$I$4,ROUND(G120*(1-$J$4),2),IF($E$106=$I$5,ROUND(G120*(1-$J$5),2),IF($E$106=$I$6,ROUND(G120*(1-$J$6),2),IF($E$106=$I$7,ROUND(G120*(1-$J$7),2),IF($E$106=$I$8,ROUND(G120*(1-$J$8),2),G120))))))</f>
        <v>304.43</v>
      </c>
      <c r="J120" s="149">
        <f>+CP_2026!B81</f>
        <v>270437</v>
      </c>
      <c r="K120" s="149" t="str">
        <f>+CP_2026!C81</f>
        <v>Pro Max Seguridad Kit Poste 100x50x2 2,60m GRIS</v>
      </c>
      <c r="L120" s="149" t="s">
        <v>245</v>
      </c>
      <c r="M120" s="151"/>
      <c r="N120" s="151">
        <v>2.6</v>
      </c>
      <c r="O120" s="151">
        <f>+CP_2026!D81</f>
        <v>13.79</v>
      </c>
      <c r="P120" s="154">
        <f>+CP_2026!L81</f>
        <v>143.6</v>
      </c>
      <c r="Q120" s="154">
        <f>+IF($E$106=$I$3,ROUND(P120*(1-$J$3),2),IF($E$106=$I$4,ROUND(P120*(1-$J$4),2),IF($E$106=$I$5,ROUND(P120*(1-$J$5),2),IF($E$106=$I$6,ROUND(P120*(1-$J$6),2),IF($E$106=$I$7,ROUND(P120*(1-$J$7),2),IF($E$106=$I$8,ROUND(P120*(1-$J$8),2),P120))))))</f>
        <v>143.6</v>
      </c>
      <c r="S120" s="149">
        <f>+CP_2026!B84</f>
        <v>270440</v>
      </c>
      <c r="T120" s="149" t="str">
        <f>+CP_2026!C84</f>
        <v>Pro Max Seguridad Tapa PVC Gris 100x50x2 Bekaert</v>
      </c>
      <c r="U120" s="154">
        <f>+CP_2026!L84</f>
        <v>2.42</v>
      </c>
      <c r="V120" s="154">
        <f>+IF($E$10=$I$3,ROUND(U120*(1-$J$3),2),IF($E$10=$I$4,ROUND(U120*(1-$J$4),2),IF($E$10=$I$5,ROUND(U120*(1-$J$5),2),IF($E$10=$I$6,ROUND(U120*(1-$J$6),2),IF($E$10=$I$7,ROUND(U120*(1-$J$7),2),IF($E$10=$I$8,ROUND(U120*(1-$J$8),2),U120))))))</f>
        <v>2.42</v>
      </c>
      <c r="AA120" s="149">
        <f>+CP_2026!B85</f>
        <v>645392</v>
      </c>
      <c r="AB120" s="149" t="str">
        <f>+CP_2026!C85</f>
        <v>Pro Max Seguridad Fijación 40x40x11x3 paso 12,7 mm GRIS</v>
      </c>
      <c r="AC120" s="154">
        <f>+CP_2026!L85</f>
        <v>2.2799999999999998</v>
      </c>
      <c r="AD120" s="154">
        <f>+IF($E$10=$I$3,ROUND(AC120*(1-$J$3),2),IF($E$10=$I$4,ROUND(AC120*(1-$J$4),2),IF($E$10=$I$5,ROUND(AC120*(1-$J$5),2),IF($E$10=$I$6,ROUND(AC120*(1-$J$6),2),IF($E$10=$I$7,ROUND(AC120*(1-$J$7),2),IF($E$10=$I$8,ROUND(AC120*(1-$J$8),2),AC120))))))</f>
        <v>2.2799999999999998</v>
      </c>
      <c r="AG120" s="149">
        <f>+CP_2026!B86</f>
        <v>645393</v>
      </c>
      <c r="AH120" s="149" t="str">
        <f>+CP_2026!C86</f>
        <v>Perno coche 1/4"X5" INOX 316 CHN</v>
      </c>
      <c r="AI120" s="154">
        <f>+CP_2026!L86</f>
        <v>1.1599999999999999</v>
      </c>
      <c r="AJ120" s="154">
        <f>+IF($E$10=$I$3,ROUND(AI120*(1-$J$3),2),IF($E$10=$I$4,ROUND(AI120*(1-$J$4),2),IF($E$10=$I$5,ROUND(AI120*(1-$J$5),2),IF($E$10=$I$6,ROUND(AI120*(1-$J$6),2),IF($E$10=$I$7,ROUND(AI120*(1-$J$7),2),IF($E$10=$I$8,ROUND(AI120*(1-$J$8),2),AI120))))))</f>
        <v>1.1599999999999999</v>
      </c>
      <c r="AM120" s="149">
        <f>+CP_2026!B87</f>
        <v>270504</v>
      </c>
      <c r="AN120" s="149" t="str">
        <f>+CP_2026!C87</f>
        <v>Tuerca Seg.Emb.Autor.INOX 1/4 X19mm</v>
      </c>
      <c r="AO120" s="154">
        <f>+CP_2026!L87</f>
        <v>2.5</v>
      </c>
      <c r="AP120" s="154">
        <f>+IF($E$10=$I$3,ROUND(AO120*(1-$J$3),2),IF($E$10=$I$4,ROUND(AO120*(1-$J$4),2),IF($E$10=$I$5,ROUND(AO120*(1-$J$5),2),IF($E$10=$I$6,ROUND(AO120*(1-$J$6),2),IF($E$10=$I$7,ROUND(AO120*(1-$J$7),2),IF($E$10=$I$8,ROUND(AO120*(1-$J$8),2),AO120))))))</f>
        <v>2.5</v>
      </c>
      <c r="AR120" s="149">
        <f>+CP_2026!B53</f>
        <v>683471</v>
      </c>
      <c r="AS120" s="149" t="str">
        <f>+CP_2026!C53</f>
        <v>SPRAY GALV FRIO</v>
      </c>
      <c r="AT120" s="164">
        <f>+CP_2026!L53</f>
        <v>37.517039922103216</v>
      </c>
      <c r="AU120" s="154">
        <f>+IF($E$10=$I$3,ROUND(AT94*(1-$J$3),2),IF($E$10=$I$4,ROUND(AT94*(1-$J$4),2),IF($E$10=$I$5,ROUND(AT94*(1-$J$5),2),IF($E$10=$I$6,ROUND(AT94*(1-$J$6),2),IF($E$10=$I$7,ROUND(AT94*(1-$J$7),2),IF($E$10=$I$8,ROUND(AT94*(1-$J$8),2),AT94))))))</f>
        <v>37.517039922103216</v>
      </c>
    </row>
    <row r="121" spans="1:47">
      <c r="A121" s="149">
        <f>+CP_2026!B79</f>
        <v>270435</v>
      </c>
      <c r="B121" s="149" t="str">
        <f>+CP_2026!C79</f>
        <v>Pro Max Seguridad 2,45x2,4m GRIS</v>
      </c>
      <c r="C121" s="151">
        <v>2.4500000000000002</v>
      </c>
      <c r="D121" s="95"/>
      <c r="E121" s="95"/>
      <c r="F121" s="151">
        <f>+CP_2026!D79</f>
        <v>58.56</v>
      </c>
      <c r="G121" s="154">
        <f>+CP_2026!L79</f>
        <v>345.02</v>
      </c>
      <c r="H121" s="154">
        <f>+IF($E$106=$I$3,ROUND(G121*(1-$J$3),2),IF($E$106=$I$4,ROUND(G121*(1-$J$4),2),IF($E$106=$I$5,ROUND(G121*(1-$J$5),2),IF($E$106=$I$6,ROUND(G121*(1-$J$6),2),IF($E$106=$I$7,ROUND(G121*(1-$J$7),2),IF($E$106=$I$8,ROUND(G121*(1-$J$8),2),G121))))))</f>
        <v>345.02</v>
      </c>
      <c r="J121" s="149">
        <f>+CP_2026!B82</f>
        <v>270438</v>
      </c>
      <c r="K121" s="149" t="str">
        <f>+CP_2026!C82</f>
        <v>Pro Max Seguridad Kit Poste 100x50x2 3,00m GRIS</v>
      </c>
      <c r="L121" s="149" t="s">
        <v>245</v>
      </c>
      <c r="M121" s="151"/>
      <c r="N121" s="151">
        <v>3</v>
      </c>
      <c r="O121" s="151">
        <f>+CP_2026!D82</f>
        <v>14.85</v>
      </c>
      <c r="P121" s="154">
        <f>+CP_2026!L82</f>
        <v>167.71</v>
      </c>
      <c r="Q121" s="154">
        <f>+IF($E$106=$I$3,ROUND(P121*(1-$J$3),2),IF($E$106=$I$4,ROUND(P121*(1-$J$4),2),IF($E$106=$I$5,ROUND(P121*(1-$J$5),2),IF($E$106=$I$6,ROUND(P121*(1-$J$6),2),IF($E$106=$I$7,ROUND(P121*(1-$J$7),2),IF($E$106=$I$8,ROUND(P121*(1-$J$8),2),P121))))))</f>
        <v>167.71</v>
      </c>
    </row>
    <row r="122" spans="1:47">
      <c r="A122" s="149">
        <f>+CP_2026!B80</f>
        <v>270436</v>
      </c>
      <c r="B122" s="149" t="str">
        <f>+CP_2026!C80</f>
        <v>Pro Max Seguridad 3,00x2,4m GRIS</v>
      </c>
      <c r="C122" s="151">
        <v>3</v>
      </c>
      <c r="D122" s="95"/>
      <c r="E122" s="95"/>
      <c r="F122" s="151">
        <f>+CP_2026!D80</f>
        <v>70.319999999999993</v>
      </c>
      <c r="G122" s="154">
        <f>+CP_2026!L80</f>
        <v>405.9</v>
      </c>
      <c r="H122" s="154">
        <f>+IF($E$106=$I$3,ROUND(G122*(1-$J$3),2),IF($E$106=$I$4,ROUND(G122*(1-$J$4),2),IF($E$106=$I$5,ROUND(G122*(1-$J$5),2),IF($E$106=$I$6,ROUND(G122*(1-$J$6),2),IF($E$106=$I$7,ROUND(G122*(1-$J$7),2),IF($E$106=$I$8,ROUND(G122*(1-$J$8),2),G122))))))</f>
        <v>405.9</v>
      </c>
      <c r="J122" s="149">
        <f>+CP_2026!B83</f>
        <v>270439</v>
      </c>
      <c r="K122" s="149" t="str">
        <f>+CP_2026!C83</f>
        <v>Pro Max Seguridad Kit Poste 100x50x2 3,60m GRIS</v>
      </c>
      <c r="L122" s="149" t="s">
        <v>245</v>
      </c>
      <c r="M122" s="151"/>
      <c r="N122" s="151">
        <v>3.6</v>
      </c>
      <c r="O122" s="151">
        <f>+CP_2026!D83</f>
        <v>18.399999999999999</v>
      </c>
      <c r="P122" s="154">
        <f>+CP_2026!L83</f>
        <v>103.5</v>
      </c>
      <c r="Q122" s="154">
        <f>+IF($E$106=$I$3,ROUND(P122*(1-$J$3),2),IF($E$106=$I$4,ROUND(P122*(1-$J$4),2),IF($E$106=$I$5,ROUND(P122*(1-$J$5),2),IF($E$106=$I$6,ROUND(P122*(1-$J$6),2),IF($E$106=$I$7,ROUND(P122*(1-$J$7),2),IF($E$106=$I$8,ROUND(P122*(1-$J$8),2),P122))))))</f>
        <v>103.5</v>
      </c>
    </row>
  </sheetData>
  <mergeCells count="45">
    <mergeCell ref="A35:H35"/>
    <mergeCell ref="J35:Q35"/>
    <mergeCell ref="S35:Y35"/>
    <mergeCell ref="AA35:AE35"/>
    <mergeCell ref="AG35:AK35"/>
    <mergeCell ref="AA39:AA44"/>
    <mergeCell ref="AB39:AB44"/>
    <mergeCell ref="AD39:AD44"/>
    <mergeCell ref="AE39:AE44"/>
    <mergeCell ref="AR35:AU35"/>
    <mergeCell ref="AM35:AP35"/>
    <mergeCell ref="AR65:AU65"/>
    <mergeCell ref="BV35:BY35"/>
    <mergeCell ref="CA35:CD35"/>
    <mergeCell ref="CF35:CH35"/>
    <mergeCell ref="CJ35:CL35"/>
    <mergeCell ref="AW35:AZ35"/>
    <mergeCell ref="BB35:BE35"/>
    <mergeCell ref="BG35:BJ35"/>
    <mergeCell ref="BL35:BO35"/>
    <mergeCell ref="BQ35:BT35"/>
    <mergeCell ref="AW65:AZ65"/>
    <mergeCell ref="BB65:BE65"/>
    <mergeCell ref="BG65:BJ65"/>
    <mergeCell ref="BL65:BO65"/>
    <mergeCell ref="BQ65:BS65"/>
    <mergeCell ref="A65:H65"/>
    <mergeCell ref="J65:Q65"/>
    <mergeCell ref="AA65:AE65"/>
    <mergeCell ref="AG65:AK65"/>
    <mergeCell ref="AM65:AP65"/>
    <mergeCell ref="AM90:AP90"/>
    <mergeCell ref="AR90:AU90"/>
    <mergeCell ref="A116:H116"/>
    <mergeCell ref="J116:Q116"/>
    <mergeCell ref="S116:V116"/>
    <mergeCell ref="AA116:AD116"/>
    <mergeCell ref="AG116:AJ116"/>
    <mergeCell ref="AM116:AP116"/>
    <mergeCell ref="AR116:AU116"/>
    <mergeCell ref="A90:H90"/>
    <mergeCell ref="J90:Q90"/>
    <mergeCell ref="S90:V90"/>
    <mergeCell ref="AA90:AD90"/>
    <mergeCell ref="AG90:AJ90"/>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C044C-BB6C-49C4-862B-EFAC5CF8720A}">
  <sheetPr codeName="Hoja5">
    <tabColor rgb="FFFFFF00"/>
  </sheetPr>
  <dimension ref="B2:P344"/>
  <sheetViews>
    <sheetView showGridLines="0" view="pageBreakPreview" topLeftCell="A3" zoomScale="70" zoomScaleNormal="85" zoomScaleSheetLayoutView="70" workbookViewId="0">
      <selection activeCell="D78" sqref="D78"/>
    </sheetView>
  </sheetViews>
  <sheetFormatPr baseColWidth="10" defaultColWidth="11.453125" defaultRowHeight="12.5"/>
  <cols>
    <col min="1" max="1" width="11.453125" style="107"/>
    <col min="2" max="2" width="17.54296875" style="107" customWidth="1"/>
    <col min="3" max="3" width="16.6328125" style="259" customWidth="1"/>
    <col min="4" max="4" width="61.54296875" style="107" customWidth="1"/>
    <col min="5" max="5" width="11.08984375" style="107" customWidth="1"/>
    <col min="6" max="6" width="20.90625" style="107" customWidth="1"/>
    <col min="7" max="7" width="31.36328125" style="107" customWidth="1"/>
    <col min="8" max="8" width="9.453125" style="107" hidden="1" customWidth="1"/>
    <col min="9" max="9" width="2.90625" style="107" hidden="1" customWidth="1"/>
    <col min="10" max="10" width="3.54296875" style="107" hidden="1" customWidth="1"/>
    <col min="11" max="11" width="6.90625" style="107" hidden="1" customWidth="1"/>
    <col min="12" max="12" width="14.54296875" style="107" hidden="1" customWidth="1"/>
    <col min="13" max="13" width="11" style="107" hidden="1" customWidth="1"/>
    <col min="14" max="14" width="16.54296875" style="107" bestFit="1" customWidth="1"/>
    <col min="15" max="15" width="9.1796875" style="383" customWidth="1"/>
    <col min="16" max="16" width="11.453125" style="107" customWidth="1"/>
    <col min="17" max="17" width="12.453125" style="107" customWidth="1"/>
    <col min="18" max="18" width="18.453125" style="107" bestFit="1" customWidth="1"/>
    <col min="19" max="16384" width="11.453125" style="107"/>
  </cols>
  <sheetData>
    <row r="2" spans="2:15" s="99" customFormat="1" ht="18">
      <c r="B2" s="592" t="s">
        <v>216</v>
      </c>
      <c r="C2" s="592"/>
      <c r="D2" s="592"/>
      <c r="E2" s="592"/>
      <c r="F2" s="98"/>
      <c r="G2" s="98"/>
      <c r="O2" s="384"/>
    </row>
    <row r="3" spans="2:15" s="99" customFormat="1" ht="18.5" thickBot="1">
      <c r="B3" s="593" t="str">
        <f>+Ingreso!F4</f>
        <v>RECUBRIMIENTO: DUPLEX ( GALVANIZADO + POLIESTER )</v>
      </c>
      <c r="C3" s="594"/>
      <c r="D3" s="594"/>
      <c r="E3" s="594"/>
      <c r="F3" s="100"/>
      <c r="G3" s="100"/>
      <c r="O3" s="384"/>
    </row>
    <row r="4" spans="2:15" s="99" customFormat="1" ht="18.5" thickTop="1">
      <c r="B4" s="101"/>
      <c r="C4" s="101"/>
      <c r="D4" s="101"/>
      <c r="E4" s="101"/>
      <c r="F4" s="102"/>
      <c r="G4" s="102"/>
      <c r="O4" s="384"/>
    </row>
    <row r="5" spans="2:15" ht="14">
      <c r="B5" s="103" t="s">
        <v>144</v>
      </c>
      <c r="C5" s="136"/>
      <c r="D5" s="104"/>
      <c r="E5" s="105" t="s">
        <v>145</v>
      </c>
      <c r="F5" s="105"/>
    </row>
    <row r="6" spans="2:15" ht="13">
      <c r="B6" s="105" t="s">
        <v>113</v>
      </c>
      <c r="C6" s="136"/>
      <c r="D6" s="104"/>
      <c r="E6" s="105" t="s">
        <v>146</v>
      </c>
      <c r="F6" s="105"/>
      <c r="G6" s="108"/>
    </row>
    <row r="7" spans="2:15" ht="15.5">
      <c r="B7" s="109" t="s">
        <v>147</v>
      </c>
      <c r="E7" s="105" t="s">
        <v>148</v>
      </c>
      <c r="F7" s="313"/>
      <c r="G7" s="110"/>
    </row>
    <row r="8" spans="2:15" ht="15.5">
      <c r="B8" s="109" t="s">
        <v>149</v>
      </c>
      <c r="E8" s="105" t="s">
        <v>174</v>
      </c>
      <c r="F8" s="106"/>
    </row>
    <row r="9" spans="2:15" ht="15.5">
      <c r="B9" s="109" t="s">
        <v>150</v>
      </c>
      <c r="F9" s="106"/>
      <c r="G9" s="111" t="s">
        <v>151</v>
      </c>
    </row>
    <row r="10" spans="2:15" ht="16" thickBot="1">
      <c r="B10" s="112"/>
      <c r="C10" s="260"/>
      <c r="D10" s="113"/>
      <c r="E10" s="112"/>
      <c r="F10" s="114"/>
      <c r="G10" s="115" t="s">
        <v>152</v>
      </c>
    </row>
    <row r="11" spans="2:15" ht="16" thickTop="1">
      <c r="D11" s="106"/>
      <c r="G11" s="116"/>
    </row>
    <row r="12" spans="2:15" ht="15.5">
      <c r="B12" s="117" t="s">
        <v>153</v>
      </c>
      <c r="D12" s="118"/>
    </row>
    <row r="13" spans="2:15" ht="15.5">
      <c r="B13" s="117"/>
      <c r="D13" s="118"/>
      <c r="F13" s="119" t="s">
        <v>154</v>
      </c>
      <c r="G13" s="107" t="str">
        <f>+Ingreso!D12</f>
        <v>sangolqui</v>
      </c>
    </row>
    <row r="14" spans="2:15">
      <c r="B14" s="120" t="str">
        <f>+Ingreso!D8</f>
        <v>XXXXXXX</v>
      </c>
      <c r="C14" s="261"/>
      <c r="D14" s="120"/>
      <c r="F14" s="121" t="s">
        <v>155</v>
      </c>
      <c r="G14" s="122">
        <f>+Ingreso!D15</f>
        <v>44845</v>
      </c>
    </row>
    <row r="15" spans="2:15">
      <c r="B15" s="120" t="str">
        <f>+Ingreso!D9</f>
        <v>eqwqe</v>
      </c>
      <c r="C15" s="261"/>
      <c r="D15" s="120"/>
      <c r="F15" s="119" t="s">
        <v>156</v>
      </c>
      <c r="G15" s="146" t="str">
        <f>+Ingreso!D13</f>
        <v>2222222adas</v>
      </c>
    </row>
    <row r="16" spans="2:15">
      <c r="B16" s="120" t="str">
        <f>+Ingreso!D10</f>
        <v>Quito Norte</v>
      </c>
      <c r="C16" s="261"/>
      <c r="D16" s="120"/>
      <c r="F16" s="123" t="s">
        <v>157</v>
      </c>
      <c r="G16" s="119" t="str">
        <f>+Ingreso!D14</f>
        <v>123@gmail.com</v>
      </c>
    </row>
    <row r="17" spans="2:14">
      <c r="F17" s="123"/>
      <c r="G17" s="119"/>
    </row>
    <row r="18" spans="2:14" ht="16" thickBot="1">
      <c r="B18" s="112"/>
      <c r="C18" s="260"/>
      <c r="D18" s="113"/>
      <c r="E18" s="112"/>
      <c r="F18" s="114"/>
      <c r="G18" s="115" t="s">
        <v>152</v>
      </c>
    </row>
    <row r="19" spans="2:14" ht="16" thickTop="1">
      <c r="D19" s="106"/>
    </row>
    <row r="20" spans="2:14" ht="15.5">
      <c r="B20" s="125" t="s">
        <v>158</v>
      </c>
      <c r="D20" s="125"/>
      <c r="E20" s="124"/>
      <c r="F20" s="106"/>
      <c r="G20" s="106"/>
    </row>
    <row r="21" spans="2:14" ht="15.5">
      <c r="C21" s="262"/>
      <c r="D21" s="125"/>
      <c r="E21" s="124"/>
      <c r="F21" s="126"/>
      <c r="G21" s="126"/>
    </row>
    <row r="22" spans="2:14">
      <c r="B22" s="586" t="s">
        <v>159</v>
      </c>
      <c r="C22" s="588" t="s">
        <v>160</v>
      </c>
      <c r="D22" s="588" t="s">
        <v>161</v>
      </c>
      <c r="E22" s="590"/>
      <c r="F22" s="586" t="s">
        <v>162</v>
      </c>
      <c r="G22" s="586" t="s">
        <v>163</v>
      </c>
      <c r="K22" s="585" t="s">
        <v>131</v>
      </c>
      <c r="L22" s="585" t="s">
        <v>212</v>
      </c>
    </row>
    <row r="23" spans="2:14">
      <c r="B23" s="587"/>
      <c r="C23" s="589"/>
      <c r="D23" s="589"/>
      <c r="E23" s="591"/>
      <c r="F23" s="587"/>
      <c r="G23" s="587"/>
      <c r="K23" s="585"/>
      <c r="L23" s="585"/>
    </row>
    <row r="24" spans="2:14">
      <c r="B24" s="127"/>
      <c r="C24" s="203">
        <f>+Ingreso!D22</f>
        <v>130</v>
      </c>
      <c r="D24" s="128" t="str">
        <f>+" CERCAS PRO "&amp;Ingreso!$C$4&amp;" "&amp;Ingreso!$D$27&amp;" h ="&amp;Ingreso!$D$26&amp;" Inclinación "&amp;Ingreso!$D$25*100&amp;" % "</f>
        <v xml:space="preserve"> CERCAS PRO PERIMETRAL VERDE h =2.08 Inclinación 0 % </v>
      </c>
      <c r="E24" s="129"/>
      <c r="F24" s="314"/>
      <c r="G24" s="129"/>
    </row>
    <row r="25" spans="2:14">
      <c r="B25" s="130"/>
      <c r="C25" s="263"/>
      <c r="D25" s="131" t="str">
        <f>IF(Ingreso!$D$24="s","CON 3 HILERAS DE ALAMBRE DE PUAS","SIN ALAMBRES DE PUAS")</f>
        <v>SIN ALAMBRES DE PUAS</v>
      </c>
      <c r="E25" s="132"/>
      <c r="F25" s="315" t="s">
        <v>164</v>
      </c>
      <c r="G25" s="316"/>
    </row>
    <row r="26" spans="2:14">
      <c r="B26" s="181">
        <f>+IF(Calculo!E12="N",Calculo!J36,Calculo!S36)</f>
        <v>270876</v>
      </c>
      <c r="C26" s="317">
        <f>+Calculo!B6</f>
        <v>53</v>
      </c>
      <c r="D26" s="182" t="str">
        <f>+IF(B26=0," NO SE DISPONE ESTA OPCION",IF(Calculo!E12="N",Calculo!K36,Calculo!T36))</f>
        <v>PostePro 60x60x1.5x2.60m PLINTO/VER</v>
      </c>
      <c r="E26" s="183"/>
      <c r="F26" s="318">
        <f>+IF(Calculo!E12="N",Calculo!Q36,Calculo!Y36)</f>
        <v>30.19</v>
      </c>
      <c r="G26" s="318">
        <f t="shared" ref="G26:G31" si="0">IF(B26="","",F26*C26)</f>
        <v>1600.0700000000002</v>
      </c>
      <c r="K26" s="107">
        <f>+VLOOKUP(B26,CP_2026!$B$28:$L$55,3,0)</f>
        <v>7.3</v>
      </c>
      <c r="L26" s="107">
        <f t="shared" ref="L26:L32" si="1">+K26*C26</f>
        <v>386.9</v>
      </c>
    </row>
    <row r="27" spans="2:14">
      <c r="B27" s="181">
        <f>+Calculo!BB36</f>
        <v>189488</v>
      </c>
      <c r="C27" s="317">
        <f>+Calculo!B7</f>
        <v>53</v>
      </c>
      <c r="D27" s="178" t="str">
        <f>+Calculo!BC36</f>
        <v>ProTapa plástica 60x60mm</v>
      </c>
      <c r="E27" s="183"/>
      <c r="F27" s="318">
        <f>+Calculo!BE36</f>
        <v>1.31</v>
      </c>
      <c r="G27" s="318">
        <f t="shared" si="0"/>
        <v>69.430000000000007</v>
      </c>
      <c r="K27" s="107">
        <f>+VLOOKUP(B27,CP_2026!$B$28:$L$55,3,0)</f>
        <v>0.04</v>
      </c>
      <c r="L27" s="107">
        <f t="shared" si="1"/>
        <v>2.12</v>
      </c>
    </row>
    <row r="28" spans="2:14">
      <c r="B28" s="184">
        <f>+Calculo!AA36</f>
        <v>272173</v>
      </c>
      <c r="C28" s="317">
        <f>+Calculo!B8</f>
        <v>265</v>
      </c>
      <c r="D28" s="178" t="str">
        <f>+Calculo!AB36</f>
        <v>Fijación p/perno 1/4" Verde</v>
      </c>
      <c r="E28" s="183"/>
      <c r="F28" s="318">
        <f>+Calculo!AE36</f>
        <v>0.96</v>
      </c>
      <c r="G28" s="318">
        <f t="shared" si="0"/>
        <v>254.39999999999998</v>
      </c>
      <c r="K28" s="107">
        <f>+VLOOKUP(B28,CP_2026!$B$28:$L$55,3,0)</f>
        <v>0.03</v>
      </c>
      <c r="L28" s="107">
        <f t="shared" si="1"/>
        <v>7.9499999999999993</v>
      </c>
    </row>
    <row r="29" spans="2:14">
      <c r="B29" s="184">
        <f>+Calculo!AG36</f>
        <v>270501</v>
      </c>
      <c r="C29" s="317">
        <f>+Calculo!B9</f>
        <v>265</v>
      </c>
      <c r="D29" s="178" t="str">
        <f>+Calculo!AH36</f>
        <v>Perno coche 1/4"X2 1/2" INOX 316 CHN</v>
      </c>
      <c r="E29" s="183"/>
      <c r="F29" s="318">
        <f>+Calculo!AK36</f>
        <v>0.75</v>
      </c>
      <c r="G29" s="318">
        <f t="shared" si="0"/>
        <v>198.75</v>
      </c>
      <c r="K29" s="107">
        <f>+VLOOKUP(B29,CP_2026!$B$28:$L$55,3,0)</f>
        <v>0.02</v>
      </c>
      <c r="L29" s="107">
        <f t="shared" si="1"/>
        <v>5.3</v>
      </c>
    </row>
    <row r="30" spans="2:14">
      <c r="B30" s="181">
        <f>+Calculo!AM36</f>
        <v>270504</v>
      </c>
      <c r="C30" s="317">
        <f>+Calculo!B9</f>
        <v>265</v>
      </c>
      <c r="D30" s="186" t="str">
        <f>+Calculo!AN36</f>
        <v>Tuerca Seg.Emb.Autor.INOX 1/4 X19mm</v>
      </c>
      <c r="E30" s="183"/>
      <c r="F30" s="318">
        <f>+Calculo!AP36</f>
        <v>2.12</v>
      </c>
      <c r="G30" s="318">
        <f t="shared" si="0"/>
        <v>561.80000000000007</v>
      </c>
      <c r="K30" s="107">
        <f>+VLOOKUP(B30,CP_2026!$B$28:$L$55,3,0)</f>
        <v>0.01</v>
      </c>
      <c r="L30" s="107">
        <f t="shared" si="1"/>
        <v>2.65</v>
      </c>
    </row>
    <row r="31" spans="2:14">
      <c r="B31" s="181">
        <f>+Calculo!A36</f>
        <v>189483</v>
      </c>
      <c r="C31" s="317">
        <f>+Calculo!B15</f>
        <v>52</v>
      </c>
      <c r="D31" s="178" t="str">
        <f>+Calculo!B36</f>
        <v>CercasPro 2,08x2.50m  Verde</v>
      </c>
      <c r="E31" s="183"/>
      <c r="F31" s="318">
        <f>+Calculo!H36</f>
        <v>101.7</v>
      </c>
      <c r="G31" s="318">
        <f t="shared" si="0"/>
        <v>5288.4000000000005</v>
      </c>
      <c r="K31" s="107">
        <f>+VLOOKUP(B31,CP_2026!$B$28:$L$55,3,0)</f>
        <v>21.95</v>
      </c>
      <c r="L31" s="107">
        <f t="shared" si="1"/>
        <v>1141.3999999999999</v>
      </c>
    </row>
    <row r="32" spans="2:14">
      <c r="B32" s="184" t="str">
        <f>+IF(Calculo!E12="S",Calculo!AR36," ")</f>
        <v xml:space="preserve"> </v>
      </c>
      <c r="C32" s="317" t="str">
        <f>IF(B32=" "," ",+C26*4)</f>
        <v xml:space="preserve"> </v>
      </c>
      <c r="D32" s="186" t="str">
        <f>IF(B32=" "," ",+Calculo!AS36)</f>
        <v xml:space="preserve"> </v>
      </c>
      <c r="E32" s="183"/>
      <c r="F32" s="318" t="str">
        <f>IF(B32=" "," ",Calculo!AU36)</f>
        <v xml:space="preserve"> </v>
      </c>
      <c r="G32" s="318" t="str">
        <f>IF(B32=" "," ",IF(B32="","",F32*C32))</f>
        <v xml:space="preserve"> </v>
      </c>
      <c r="K32" s="107" t="e">
        <f>+VLOOKUP(B32,CP_2026!$B$28:$L$55,3,0)</f>
        <v>#N/A</v>
      </c>
      <c r="L32" s="107" t="e">
        <f t="shared" si="1"/>
        <v>#N/A</v>
      </c>
      <c r="N32" s="133"/>
    </row>
    <row r="33" spans="2:12">
      <c r="B33" s="181" t="str">
        <f>+IF(Calculo!P2="N",Calculo!AR36," ")</f>
        <v xml:space="preserve"> </v>
      </c>
      <c r="C33" s="317" t="str">
        <f>IF(B33=" "," ",+C27*4)</f>
        <v xml:space="preserve"> </v>
      </c>
      <c r="D33" s="186" t="str">
        <f>IF(B33=" "," ",Calculo!AS36)</f>
        <v xml:space="preserve"> </v>
      </c>
      <c r="E33" s="183"/>
      <c r="F33" s="318" t="str">
        <f>IF(B33=" "," ",Calculo!AU36)</f>
        <v xml:space="preserve"> </v>
      </c>
      <c r="G33" s="318" t="str">
        <f>IF(B33=" "," ",IF(B33="","",F33*C33))</f>
        <v xml:space="preserve"> </v>
      </c>
      <c r="K33" s="107" t="str">
        <f>IF(B33=" "," ",+VLOOKUP(B33,CP_2026!$B$28:$L$55,3,0))</f>
        <v xml:space="preserve"> </v>
      </c>
      <c r="L33" s="107" t="str">
        <f>+IF(B33=" "," ",K33*C33)</f>
        <v xml:space="preserve"> </v>
      </c>
    </row>
    <row r="34" spans="2:12">
      <c r="B34" s="181" t="str">
        <f>+IF(Calculo!E11=1.11," ",IF(Calculo!E13="S",Calculo!BL36," "))</f>
        <v xml:space="preserve"> </v>
      </c>
      <c r="C34" s="317" t="str">
        <f>IF(B34=" "," ",C26)</f>
        <v xml:space="preserve"> </v>
      </c>
      <c r="D34" s="178" t="str">
        <f>IF(B34=" "," ",Calculo!BM36)</f>
        <v xml:space="preserve"> </v>
      </c>
      <c r="E34" s="179"/>
      <c r="F34" s="318" t="str">
        <f>IF(B34=" "," ",Calculo!BO36)</f>
        <v xml:space="preserve"> </v>
      </c>
      <c r="G34" s="318" t="str">
        <f>IF(B34=" "," ",IF(B34="","",F34*C34))</f>
        <v xml:space="preserve"> </v>
      </c>
      <c r="K34" s="107" t="str">
        <f>+IF(B33=" "," ",VLOOKUP(B34,CP_2026!$B$28:$L$55,3,0))</f>
        <v xml:space="preserve"> </v>
      </c>
      <c r="L34" s="107" t="str">
        <f>IF(B33=" "," ",+K34*C34)</f>
        <v xml:space="preserve"> </v>
      </c>
    </row>
    <row r="35" spans="2:12">
      <c r="B35" s="181" t="str">
        <f>+IF(Calculo!E11=1.11," ",IF(Calculo!E13="S",Calculo!BG36," "))</f>
        <v xml:space="preserve"> </v>
      </c>
      <c r="C35" s="317" t="str">
        <f>IF(B34=" "," ",C34*3)</f>
        <v xml:space="preserve"> </v>
      </c>
      <c r="D35" s="186" t="str">
        <f>IF(B35=" "," ",+Calculo!BH36)</f>
        <v xml:space="preserve"> </v>
      </c>
      <c r="E35" s="179"/>
      <c r="F35" s="318" t="str">
        <f>IF(B35=" "," ",Calculo!BJ36)</f>
        <v xml:space="preserve"> </v>
      </c>
      <c r="G35" s="318" t="str">
        <f>IF(B35=" "," ",IF(B35="","",F35*C35))</f>
        <v xml:space="preserve"> </v>
      </c>
      <c r="K35" s="107" t="str">
        <f>+IF(B33=" "," ",VLOOKUP(B35,CP_2026!$B$28:$L$55,3,0))</f>
        <v xml:space="preserve"> </v>
      </c>
      <c r="L35" s="107" t="str">
        <f>IF(B33=" "," ",+K35*C35)</f>
        <v xml:space="preserve"> </v>
      </c>
    </row>
    <row r="36" spans="2:12">
      <c r="B36" s="181"/>
      <c r="C36" s="193"/>
      <c r="D36" s="178"/>
      <c r="E36" s="179"/>
      <c r="F36" s="318"/>
      <c r="G36" s="318"/>
    </row>
    <row r="37" spans="2:12">
      <c r="B37" s="181"/>
      <c r="C37" s="317"/>
      <c r="D37" s="180" t="str">
        <f>+IF(AND(Calculo!E11=1.11,Calculo!E13="S"),"NO APLICA OPCION CON PUAS"," ")</f>
        <v xml:space="preserve"> </v>
      </c>
      <c r="E37" s="179"/>
      <c r="F37" s="318"/>
      <c r="G37" s="318"/>
    </row>
    <row r="38" spans="2:12">
      <c r="B38" s="181"/>
      <c r="C38" s="319"/>
      <c r="D38" s="178"/>
      <c r="E38" s="179"/>
      <c r="F38" s="318"/>
      <c r="G38" s="318"/>
    </row>
    <row r="39" spans="2:12">
      <c r="B39" s="181"/>
      <c r="C39" s="317"/>
      <c r="D39" s="178"/>
      <c r="E39" s="179"/>
      <c r="F39" s="318"/>
      <c r="G39" s="318"/>
    </row>
    <row r="40" spans="2:12">
      <c r="B40" s="185"/>
      <c r="C40" s="317"/>
      <c r="D40" s="180"/>
      <c r="E40" s="179"/>
      <c r="F40" s="318"/>
      <c r="G40" s="318"/>
    </row>
    <row r="41" spans="2:12">
      <c r="B41" s="239"/>
      <c r="C41" s="320" t="s">
        <v>259</v>
      </c>
      <c r="D41" s="240"/>
      <c r="E41" s="241"/>
      <c r="F41" s="321"/>
      <c r="G41" s="322"/>
    </row>
    <row r="42" spans="2:12">
      <c r="B42" s="188">
        <f>+Calculo!BQ36</f>
        <v>189205</v>
      </c>
      <c r="C42" s="309">
        <f>+Calculo!B13</f>
        <v>6</v>
      </c>
      <c r="D42" s="187" t="str">
        <f>+Calculo!BR36</f>
        <v>SPRAY VERDE 077 SEYER</v>
      </c>
      <c r="E42" s="135"/>
      <c r="F42" s="318">
        <f>+Calculo!BT36</f>
        <v>3.63</v>
      </c>
      <c r="G42" s="318">
        <f>IF(B42="","",F42*C42)</f>
        <v>21.78</v>
      </c>
      <c r="K42" s="107">
        <f>+VLOOKUP(B42,CP_2026!$B$28:$L$55,3,0)</f>
        <v>0.56000000000000005</v>
      </c>
      <c r="L42" s="107">
        <f>+K42*C42</f>
        <v>3.3600000000000003</v>
      </c>
    </row>
    <row r="43" spans="2:12">
      <c r="B43" s="188">
        <f>+Calculo!BV36</f>
        <v>683471</v>
      </c>
      <c r="C43" s="309">
        <f>+Calculo!B14</f>
        <v>2</v>
      </c>
      <c r="D43" s="187" t="str">
        <f>+Calculo!BW36</f>
        <v>SPRAY GALV FRIO</v>
      </c>
      <c r="E43" s="135"/>
      <c r="F43" s="318">
        <f>+Calculo!BY36</f>
        <v>31.85</v>
      </c>
      <c r="G43" s="318">
        <f>IF(B43="","",F43*C43)</f>
        <v>63.7</v>
      </c>
      <c r="K43" s="107">
        <f>+VLOOKUP(B43,CP_2026!$B$28:$L$55,3,0)</f>
        <v>0.4</v>
      </c>
      <c r="L43" s="107">
        <f>+K43*C43</f>
        <v>0.8</v>
      </c>
    </row>
    <row r="44" spans="2:12">
      <c r="B44" s="189" t="str">
        <f>+IF(Calculo!E11=1.11," ",IF(Calculo!E13="S",Calculo!CJ36," "))</f>
        <v xml:space="preserve"> </v>
      </c>
      <c r="C44" s="463" t="str">
        <f>IF(B44=" "," ",Calculo!V31)</f>
        <v xml:space="preserve"> </v>
      </c>
      <c r="D44" s="218" t="str">
        <f>IF(B44=" "," ",Calculo!CK36)</f>
        <v xml:space="preserve"> </v>
      </c>
      <c r="E44" s="135"/>
      <c r="F44" s="318" t="str">
        <f>IF(B44=" "," ",Calculo!CL36)</f>
        <v xml:space="preserve"> </v>
      </c>
      <c r="G44" s="323" t="str">
        <f>IF(B44=" "," ",IF(B44="","",F44*C44))</f>
        <v xml:space="preserve"> </v>
      </c>
      <c r="K44" s="107" t="e">
        <f>+VLOOKUP(B44,CP_2026!$B$28:$L$155,3,0)</f>
        <v>#N/A</v>
      </c>
      <c r="L44" s="107" t="e">
        <f>+K44*C44</f>
        <v>#N/A</v>
      </c>
    </row>
    <row r="45" spans="2:12">
      <c r="B45" s="189"/>
      <c r="C45" s="238"/>
      <c r="D45" s="218"/>
      <c r="E45" s="135"/>
      <c r="F45" s="318"/>
      <c r="G45" s="323"/>
    </row>
    <row r="46" spans="2:12">
      <c r="B46" s="189"/>
      <c r="C46" s="238"/>
      <c r="D46" s="218"/>
      <c r="E46" s="135"/>
      <c r="F46" s="318"/>
      <c r="G46" s="323"/>
    </row>
    <row r="47" spans="2:12">
      <c r="B47" s="189"/>
      <c r="C47" s="238"/>
      <c r="D47" s="218"/>
      <c r="E47" s="135"/>
      <c r="F47" s="318"/>
      <c r="G47" s="323"/>
    </row>
    <row r="48" spans="2:12">
      <c r="B48" s="189"/>
      <c r="C48" s="238"/>
      <c r="D48" s="218"/>
      <c r="E48" s="135"/>
      <c r="F48" s="318"/>
      <c r="G48" s="323"/>
    </row>
    <row r="49" spans="2:16">
      <c r="B49" s="189"/>
      <c r="C49" s="238"/>
      <c r="D49" s="218"/>
      <c r="E49" s="135"/>
      <c r="F49" s="318"/>
      <c r="G49" s="323"/>
    </row>
    <row r="50" spans="2:16">
      <c r="B50" s="189"/>
      <c r="C50" s="238"/>
      <c r="D50" s="218"/>
      <c r="E50" s="135"/>
      <c r="F50" s="318"/>
      <c r="G50" s="323"/>
    </row>
    <row r="51" spans="2:16">
      <c r="B51" s="189"/>
      <c r="C51" s="238"/>
      <c r="D51" s="218"/>
      <c r="E51" s="135"/>
      <c r="F51" s="318"/>
      <c r="G51" s="323"/>
    </row>
    <row r="52" spans="2:16">
      <c r="B52" s="239"/>
      <c r="C52" s="320" t="s">
        <v>261</v>
      </c>
      <c r="D52" s="240"/>
      <c r="E52" s="241"/>
      <c r="F52" s="321"/>
      <c r="G52" s="322"/>
      <c r="H52" s="107" t="s">
        <v>11</v>
      </c>
    </row>
    <row r="53" spans="2:16">
      <c r="B53" s="189" t="str">
        <f>++IF(O53="En blanco"," ",IF(Ingreso!$D$29="N"," ",+VLOOKUP(E53,CP_2026!$A$55:$L$66,2,TRUE)))</f>
        <v xml:space="preserve"> </v>
      </c>
      <c r="C53" s="257"/>
      <c r="D53" s="306"/>
      <c r="E53" s="479" t="e">
        <f>+MATCH(D53,CP_2026!$C$55:$C$66,0)</f>
        <v>#N/A</v>
      </c>
      <c r="F53" s="318" t="str">
        <f>IF(B53=" "," ",IF(Calculo!$E$10=Calculo!$I$3,+ROUND(H53*(1-Calculo!$J$3),2),+IF(Calculo!$E$10=Calculo!$I$4,+ROUND(H53*(1-Calculo!$J$4),2),+IF(Calculo!$E$10=Calculo!$I$5,+ROUND(H53*(1-Calculo!$J$5),2),+IF(Calculo!$E$10=Calculo!$I$6,+ROUND(H53*(1-Calculo!$J$6),2),+IF(Calculo!$E$10=Calculo!$I$7,+ROUND(H53*(1-Calculo!$J$7),2),+IF(Calculo!$E$10=Calculo!$I$8,+ROUND(H53*(1-Calculo!$J$8),2),H53)))))))</f>
        <v xml:space="preserve"> </v>
      </c>
      <c r="G53" s="323" t="str">
        <f>IF(B53=" "," ",IF(B53="","",F53*C53))</f>
        <v xml:space="preserve"> </v>
      </c>
      <c r="H53" s="107" t="str">
        <f>++IF(O53="En blanco"," ",IF(Ingreso!$D$29="N"," ",+VLOOKUP(E53,CP_2026!$A$55:$L$66,12,TRUE)))</f>
        <v xml:space="preserve"> </v>
      </c>
      <c r="K53" s="107" t="e">
        <f>+VLOOKUP(B53,CP_2026!$B$57:$L$77,3,0)</f>
        <v>#N/A</v>
      </c>
      <c r="L53" s="107" t="e">
        <f>+K53*C53</f>
        <v>#N/A</v>
      </c>
      <c r="O53" s="476" t="str">
        <f>IF(ISBLANK(C53),"En blanco","No está en blanco")</f>
        <v>En blanco</v>
      </c>
      <c r="P53" s="477"/>
    </row>
    <row r="54" spans="2:16">
      <c r="B54" s="189" t="str">
        <f>++IF(O54="En blanco"," ",IF(Ingreso!$D$29="N"," ",+VLOOKUP(E54,CP_2026!$A$55:$L$66,2,TRUE)))</f>
        <v xml:space="preserve"> </v>
      </c>
      <c r="C54" s="257"/>
      <c r="D54" s="306"/>
      <c r="E54" s="479" t="e">
        <f>+MATCH(D54,CP_2026!$C$55:$C$66,0)</f>
        <v>#N/A</v>
      </c>
      <c r="F54" s="318" t="str">
        <f>IF(B54=" "," ",IF(Calculo!$E$10=Calculo!$I$3,+ROUND(H54*(1-Calculo!$J$3),2),+IF(Calculo!$E$10=Calculo!$I$4,+ROUND(H54*(1-Calculo!$J$4),2),+IF(Calculo!$E$10=Calculo!$I$5,+ROUND(H54*(1-Calculo!$J$5),2),+IF(Calculo!$E$10=Calculo!$I$6,+ROUND(H54*(1-Calculo!$J$6),2),+IF(Calculo!$E$10=Calculo!$I$7,+ROUND(H54*(1-Calculo!$J$7),2),+IF(Calculo!$E$10=Calculo!$I$8,+ROUND(H54*(1-Calculo!$J$8),2),H54)))))))</f>
        <v xml:space="preserve"> </v>
      </c>
      <c r="G54" s="323" t="str">
        <f>IF(B54=" "," ",IF(B54="","",F54*C54))</f>
        <v xml:space="preserve"> </v>
      </c>
      <c r="H54" s="107" t="str">
        <f>++IF(O54="En blanco"," ",IF(Ingreso!$D$29="N"," ",+VLOOKUP(E54,CP_2026!$A$55:$L$66,12,TRUE)))</f>
        <v xml:space="preserve"> </v>
      </c>
      <c r="K54" s="107" t="e">
        <f>+VLOOKUP(B54,CP_2026!$B$57:$L$77,3,0)</f>
        <v>#N/A</v>
      </c>
      <c r="L54" s="107" t="e">
        <f>+K54*C54</f>
        <v>#N/A</v>
      </c>
      <c r="O54" s="476" t="str">
        <f t="shared" ref="O54:O60" si="2">IF(ISBLANK(C54),"En blanco","No está en blanco")</f>
        <v>En blanco</v>
      </c>
      <c r="P54" s="477"/>
    </row>
    <row r="55" spans="2:16">
      <c r="B55" s="189" t="str">
        <f>++IF(O55="En blanco"," ",IF(Ingreso!$D$29="N"," ",+VLOOKUP(E55,CP_2026!$A$55:$L$66,2,TRUE)))</f>
        <v xml:space="preserve"> </v>
      </c>
      <c r="C55" s="257"/>
      <c r="D55" s="306"/>
      <c r="E55" s="479" t="e">
        <f>+MATCH(D55,CP_2026!$C$55:$C$66,0)</f>
        <v>#N/A</v>
      </c>
      <c r="F55" s="318" t="str">
        <f>IF(B55=" "," ",IF(Calculo!$E$10=Calculo!$I$3,+ROUND(H55*(1-Calculo!$J$3),2),+IF(Calculo!$E$10=Calculo!$I$4,+ROUND(H55*(1-Calculo!$J$4),2),+IF(Calculo!$E$10=Calculo!$I$5,+ROUND(H55*(1-Calculo!$J$5),2),+IF(Calculo!$E$10=Calculo!$I$6,+ROUND(H55*(1-Calculo!$J$6),2),+IF(Calculo!$E$10=Calculo!$I$7,+ROUND(H55*(1-Calculo!$J$7),2),+IF(Calculo!$E$10=Calculo!$I$8,+ROUND(H55*(1-Calculo!$J$8),2),H55)))))))</f>
        <v xml:space="preserve"> </v>
      </c>
      <c r="G55" s="323" t="str">
        <f>IF(B55=" "," ",IF(B55="","",F55*C55))</f>
        <v xml:space="preserve"> </v>
      </c>
      <c r="H55" s="107" t="str">
        <f>++IF(O55="En blanco"," ",IF(Ingreso!$D$29="N"," ",+VLOOKUP(E55,CP_2026!$A$55:$L$66,12,TRUE)))</f>
        <v xml:space="preserve"> </v>
      </c>
      <c r="K55" s="107" t="e">
        <f>+VLOOKUP(B55,CP_2026!$B$57:$L$77,3,0)</f>
        <v>#N/A</v>
      </c>
      <c r="L55" s="107" t="e">
        <f>+K55*C55</f>
        <v>#N/A</v>
      </c>
      <c r="O55" s="476" t="str">
        <f t="shared" si="2"/>
        <v>En blanco</v>
      </c>
      <c r="P55" s="477"/>
    </row>
    <row r="56" spans="2:16">
      <c r="B56" s="239"/>
      <c r="C56" s="320"/>
      <c r="D56" s="241"/>
      <c r="E56" s="480"/>
      <c r="F56" s="321"/>
      <c r="G56" s="322"/>
      <c r="O56" s="478"/>
      <c r="P56" s="477"/>
    </row>
    <row r="57" spans="2:16">
      <c r="B57" s="269" t="str">
        <f>++IF(O57="En blanco"," ",IF(Ingreso!$D$29="N"," ",+VLOOKUP(E57,CP_2026!$A$67:$L$75,2,TRUE)))</f>
        <v xml:space="preserve"> </v>
      </c>
      <c r="C57" s="270"/>
      <c r="D57" s="307"/>
      <c r="E57" s="481" t="e">
        <f>+MATCH(D57,CP_2026!$C$67:$C$75,0)</f>
        <v>#N/A</v>
      </c>
      <c r="F57" s="345" t="str">
        <f>IF(B57=" "," ",IF(Calculo!$E$10=Calculo!$I$3,+ROUND(H57*(1-Calculo!$J$3),2),+IF(Calculo!$E$10=Calculo!$I$4,+ROUND(H57*(1-Calculo!$J$4),2),+IF(Calculo!$E$10=Calculo!$I$5,+ROUND(H57*(1-Calculo!$J$5),2),+IF(Calculo!$E$10=Calculo!$I$6,+ROUND(H57*(1-Calculo!$J$6),2),+IF(Calculo!$E$10=Calculo!$I$7,+ROUND(H57*(1-Calculo!$J$7),2),+IF(Calculo!$E$10=Calculo!$I$8,+ROUND(H57*(1-Calculo!$J$8),2),H57)))))))</f>
        <v xml:space="preserve"> </v>
      </c>
      <c r="G57" s="324" t="str">
        <f>IF(B57=" "," ",F57*C57)</f>
        <v xml:space="preserve"> </v>
      </c>
      <c r="H57" s="107" t="str">
        <f>++IF(O57="En blanco"," ",IF(Ingreso!$D$29="N"," ",+VLOOKUP(E57,CP_2026!$A$55:$L$66,12,TRUE)))</f>
        <v xml:space="preserve"> </v>
      </c>
      <c r="K57" s="107" t="e">
        <f>+VLOOKUP(B57,CP_2026!$B$57:$L$77,3,0)</f>
        <v>#N/A</v>
      </c>
      <c r="L57" s="107" t="e">
        <f>+K57*C57</f>
        <v>#N/A</v>
      </c>
      <c r="O57" s="476" t="str">
        <f t="shared" si="2"/>
        <v>En blanco</v>
      </c>
      <c r="P57" s="477"/>
    </row>
    <row r="58" spans="2:16">
      <c r="B58" s="189" t="str">
        <f>++IF(O58="En blanco"," ",IF(Ingreso!$D$29="N"," ",+VLOOKUP(E58,CP_2026!$A$67:$L$75,2,TRUE)))</f>
        <v xml:space="preserve"> </v>
      </c>
      <c r="C58" s="257"/>
      <c r="D58" s="306"/>
      <c r="E58" s="482" t="e">
        <f>+MATCH(D58,CP_2026!$C$67:$C$75,0)</f>
        <v>#N/A</v>
      </c>
      <c r="F58" s="318" t="str">
        <f>IF(B58=" "," ",IF(Calculo!$E$10=Calculo!$I$3,+ROUND(H58*(1-Calculo!$J$3),2),+IF(Calculo!$E$10=Calculo!$I$4,+ROUND(H58*(1-Calculo!$J$4),2),+IF(Calculo!$E$10=Calculo!$I$5,+ROUND(H58*(1-Calculo!$J$5),2),+IF(Calculo!$E$10=Calculo!$I$6,+ROUND(H58*(1-Calculo!$J$6),2),+IF(Calculo!$E$10=Calculo!$I$7,+ROUND(H58*(1-Calculo!$J$7),2),+IF(Calculo!$E$10=Calculo!$I$8,+ROUND(H58*(1-Calculo!$J$8),2),H58)))))))</f>
        <v xml:space="preserve"> </v>
      </c>
      <c r="G58" s="323" t="str">
        <f>IF(B58=" "," ",F58*C58)</f>
        <v xml:space="preserve"> </v>
      </c>
      <c r="H58" s="107" t="str">
        <f>++IF(O58="En blanco"," ",IF(Ingreso!$D$29="N"," ",+VLOOKUP(E58,CP_2026!$A$55:$L$66,12,TRUE)))</f>
        <v xml:space="preserve"> </v>
      </c>
      <c r="K58" s="107" t="e">
        <f>+VLOOKUP(B58,CP_2026!$B$57:$L$77,3,0)</f>
        <v>#N/A</v>
      </c>
      <c r="L58" s="107" t="e">
        <f>+K58*C58</f>
        <v>#N/A</v>
      </c>
      <c r="O58" s="476" t="str">
        <f t="shared" si="2"/>
        <v>En blanco</v>
      </c>
      <c r="P58" s="477"/>
    </row>
    <row r="59" spans="2:16">
      <c r="B59" s="189" t="str">
        <f>++IF(O59="En blanco"," ",IF(Ingreso!$D$29="N"," ",+VLOOKUP(E59,CP_2026!$A$67:$L$75,2,TRUE)))</f>
        <v xml:space="preserve"> </v>
      </c>
      <c r="C59" s="257"/>
      <c r="D59" s="306"/>
      <c r="E59" s="482" t="e">
        <f>+MATCH(D59,CP_2026!$C$67:$C$75,0)</f>
        <v>#N/A</v>
      </c>
      <c r="F59" s="318" t="str">
        <f>IF(B59=" "," ",IF(Calculo!$E$10=Calculo!$I$3,+ROUND(H59*(1-Calculo!$J$3),2),+IF(Calculo!$E$10=Calculo!$I$4,+ROUND(H59*(1-Calculo!$J$4),2),+IF(Calculo!$E$10=Calculo!$I$5,+ROUND(H59*(1-Calculo!$J$5),2),+IF(Calculo!$E$10=Calculo!$I$6,+ROUND(H59*(1-Calculo!$J$6),2),+IF(Calculo!$E$10=Calculo!$I$7,+ROUND(H59*(1-Calculo!$J$7),2),+IF(Calculo!$E$10=Calculo!$I$8,+ROUND(H59*(1-Calculo!$J$8),2),H59)))))))</f>
        <v xml:space="preserve"> </v>
      </c>
      <c r="G59" s="323" t="str">
        <f>IF(B59=" "," ",F59*C59)</f>
        <v xml:space="preserve"> </v>
      </c>
      <c r="H59" s="107" t="str">
        <f>++IF(O59="En blanco"," ",IF(Ingreso!$D$29="N"," ",+VLOOKUP(E59,CP_2026!$A$55:$L$66,12,TRUE)))</f>
        <v xml:space="preserve"> </v>
      </c>
      <c r="K59" s="107" t="e">
        <f>+VLOOKUP(B59,CP_2026!$B$57:$L$77,3,0)</f>
        <v>#N/A</v>
      </c>
      <c r="L59" s="107" t="e">
        <f>+K59*C59</f>
        <v>#N/A</v>
      </c>
      <c r="O59" s="476" t="str">
        <f t="shared" si="2"/>
        <v>En blanco</v>
      </c>
      <c r="P59" s="477"/>
    </row>
    <row r="60" spans="2:16">
      <c r="B60" s="271" t="str">
        <f>++IF(O60="En blanco"," ",IF(Ingreso!$D$29="N"," ",+VLOOKUP(E60,CP_2026!$A$67:$L$75,2,TRUE)))</f>
        <v xml:space="preserve"> </v>
      </c>
      <c r="C60" s="258"/>
      <c r="D60" s="308"/>
      <c r="E60" s="483" t="e">
        <f>+MATCH(D60,CP_2026!$C$67:$C$75,0)</f>
        <v>#N/A</v>
      </c>
      <c r="F60" s="346" t="str">
        <f>IF(B60=" "," ",IF(Calculo!$E$10=Calculo!$I$3,+ROUND(H60*(1-Calculo!$J$3),2),+IF(Calculo!$E$10=Calculo!$I$4,+ROUND(H60*(1-Calculo!$J$4),2),+IF(Calculo!$E$10=Calculo!$I$5,+ROUND(H60*(1-Calculo!$J$5),2),+IF(Calculo!$E$10=Calculo!$I$6,+ROUND(H60*(1-Calculo!$J$6),2),+IF(Calculo!$E$10=Calculo!$I$7,+ROUND(H60*(1-Calculo!$J$7),2),+IF(Calculo!$E$10=Calculo!$I$8,+ROUND(H60*(1-Calculo!$J$8),2),H60)))))))</f>
        <v xml:space="preserve"> </v>
      </c>
      <c r="G60" s="325" t="str">
        <f>IF(B60=" "," ",F60*C60)</f>
        <v xml:space="preserve"> </v>
      </c>
      <c r="H60" s="107" t="str">
        <f>++IF(O60="En blanco"," ",IF(Ingreso!$D$29="N"," ",+VLOOKUP(E60,CP_2026!$A$55:$L$66,12,TRUE)))</f>
        <v xml:space="preserve"> </v>
      </c>
      <c r="K60" s="107" t="e">
        <f>+VLOOKUP(B60,CP_2026!$B$57:$L$77,3,0)</f>
        <v>#N/A</v>
      </c>
      <c r="L60" s="107" t="e">
        <f>+K60*C60</f>
        <v>#N/A</v>
      </c>
      <c r="O60" s="476" t="str">
        <f t="shared" si="2"/>
        <v>En blanco</v>
      </c>
      <c r="P60" s="477"/>
    </row>
    <row r="61" spans="2:16" ht="13" thickBot="1">
      <c r="B61" s="134" t="s">
        <v>165</v>
      </c>
      <c r="C61" s="259" t="str">
        <f>+L61&amp;" kg "</f>
        <v xml:space="preserve">1550.48 kg </v>
      </c>
      <c r="D61" s="256"/>
      <c r="E61" s="124"/>
      <c r="F61" s="326"/>
      <c r="G61" s="136"/>
      <c r="L61" s="107">
        <f>+SUMIF(L26:L60,"&gt;0")</f>
        <v>1550.4799999999996</v>
      </c>
      <c r="O61" s="478"/>
      <c r="P61" s="477"/>
    </row>
    <row r="62" spans="2:16" ht="13">
      <c r="C62" s="264"/>
      <c r="D62" s="134"/>
      <c r="E62" s="327" t="s">
        <v>166</v>
      </c>
      <c r="F62" s="328"/>
      <c r="G62" s="329">
        <f>SUM(G26:G61)</f>
        <v>8058.33</v>
      </c>
    </row>
    <row r="63" spans="2:16" ht="13">
      <c r="C63" s="264"/>
      <c r="D63" s="134"/>
      <c r="E63" s="330"/>
      <c r="F63" s="326"/>
      <c r="G63" s="331"/>
    </row>
    <row r="64" spans="2:16" ht="13">
      <c r="C64" s="264"/>
      <c r="D64" s="137"/>
      <c r="E64" s="330"/>
      <c r="F64" s="326"/>
      <c r="G64" s="331"/>
    </row>
    <row r="65" spans="2:7">
      <c r="C65" s="264"/>
      <c r="D65" s="137"/>
      <c r="E65" s="332" t="s">
        <v>167</v>
      </c>
      <c r="F65" s="333"/>
      <c r="G65" s="334">
        <v>0</v>
      </c>
    </row>
    <row r="66" spans="2:7">
      <c r="C66" s="264"/>
      <c r="D66" s="134"/>
      <c r="E66" s="335" t="s">
        <v>168</v>
      </c>
      <c r="F66" s="136"/>
      <c r="G66" s="334">
        <f>+G62-G65</f>
        <v>8058.33</v>
      </c>
    </row>
    <row r="67" spans="2:7">
      <c r="C67" s="264"/>
      <c r="D67" s="134"/>
      <c r="E67" s="335"/>
      <c r="F67" s="136"/>
      <c r="G67" s="334"/>
    </row>
    <row r="68" spans="2:7" ht="13">
      <c r="C68" s="264"/>
      <c r="D68" s="134"/>
      <c r="E68" s="330" t="s">
        <v>388</v>
      </c>
      <c r="F68" s="472">
        <f>+Calculo!J11</f>
        <v>0.15</v>
      </c>
      <c r="G68" s="334">
        <f>G66*F68</f>
        <v>1208.7494999999999</v>
      </c>
    </row>
    <row r="69" spans="2:7" ht="13.5" thickBot="1">
      <c r="C69" s="264"/>
      <c r="D69" s="134"/>
      <c r="E69" s="330"/>
      <c r="F69" s="336"/>
      <c r="G69" s="334"/>
    </row>
    <row r="70" spans="2:7" ht="13.5" thickBot="1">
      <c r="C70" s="264"/>
      <c r="D70" s="134"/>
      <c r="E70" s="337" t="s">
        <v>170</v>
      </c>
      <c r="F70" s="338" t="str">
        <f>+Calculo!E10</f>
        <v>Franquicia</v>
      </c>
      <c r="G70" s="339">
        <f>G66+G68</f>
        <v>9267.0794999999998</v>
      </c>
    </row>
    <row r="71" spans="2:7" ht="18">
      <c r="C71" s="118"/>
      <c r="D71" s="125"/>
      <c r="E71" s="139"/>
      <c r="F71" s="139"/>
      <c r="G71" s="140"/>
    </row>
    <row r="72" spans="2:7" ht="15.5">
      <c r="C72" s="118"/>
      <c r="D72" s="125"/>
    </row>
    <row r="73" spans="2:7" ht="15.5">
      <c r="C73" s="118"/>
      <c r="D73" s="141"/>
      <c r="E73" s="340"/>
      <c r="F73" s="142"/>
      <c r="G73" s="341"/>
    </row>
    <row r="74" spans="2:7" ht="15.5">
      <c r="B74" s="342" t="s">
        <v>171</v>
      </c>
      <c r="C74" s="183"/>
      <c r="D74" s="177"/>
      <c r="E74" s="190"/>
      <c r="F74" s="191"/>
      <c r="G74" s="138"/>
    </row>
    <row r="75" spans="2:7" ht="15.5">
      <c r="C75" s="183"/>
      <c r="D75" s="177"/>
      <c r="E75" s="190"/>
      <c r="F75" s="190"/>
    </row>
    <row r="76" spans="2:7" ht="15.5">
      <c r="B76" s="109" t="s">
        <v>172</v>
      </c>
      <c r="D76" s="109"/>
      <c r="E76" s="190"/>
      <c r="F76" s="191"/>
      <c r="G76" s="138"/>
    </row>
    <row r="77" spans="2:7" ht="15.5">
      <c r="B77" s="177"/>
      <c r="C77" s="343"/>
      <c r="D77" s="177"/>
      <c r="E77" s="190"/>
      <c r="F77" s="191"/>
      <c r="G77" s="138"/>
    </row>
    <row r="78" spans="2:7" ht="15.5">
      <c r="B78" s="177"/>
      <c r="C78" s="343"/>
      <c r="D78" s="177"/>
      <c r="E78" s="190"/>
      <c r="F78" s="191"/>
      <c r="G78" s="138"/>
    </row>
    <row r="79" spans="2:7" ht="15.5">
      <c r="C79" s="265"/>
      <c r="D79" s="104"/>
      <c r="E79" s="125"/>
      <c r="F79" s="143"/>
      <c r="G79" s="104"/>
    </row>
    <row r="80" spans="2:7" ht="15.5">
      <c r="B80" s="125" t="s">
        <v>173</v>
      </c>
      <c r="C80" s="118"/>
      <c r="E80" s="125"/>
      <c r="F80" s="143"/>
      <c r="G80" s="104"/>
    </row>
    <row r="81" spans="2:15" ht="15.5">
      <c r="E81" s="144"/>
      <c r="F81" s="145"/>
      <c r="G81" s="138"/>
    </row>
    <row r="82" spans="2:15" ht="15.5">
      <c r="E82" s="144"/>
      <c r="F82" s="145"/>
      <c r="G82" s="138"/>
    </row>
    <row r="83" spans="2:15" ht="15.5">
      <c r="B83" s="107" t="str">
        <f>+Ingreso!D35</f>
        <v>Naranjo Melanie</v>
      </c>
      <c r="C83" s="266"/>
      <c r="E83" s="144"/>
      <c r="F83" s="145"/>
    </row>
    <row r="84" spans="2:15" ht="15.5">
      <c r="B84" s="107" t="str">
        <f>+VLOOKUP(B83,'DATOS PARTIDA'!I3:K47,2,FALSE)</f>
        <v>melanie.naranjo@bekaert.com</v>
      </c>
      <c r="C84" s="266"/>
      <c r="D84" s="133" t="str">
        <f>+VLOOKUP(B83,'DATOS PARTIDA'!I3:K47,3,FALSE)</f>
        <v>+593 98 535 0069</v>
      </c>
      <c r="E84" s="144"/>
      <c r="F84" s="145"/>
      <c r="G84" s="595" t="str">
        <f>+CP_2026!A5</f>
        <v>LISTA DE PRECIOS 
VIGENTE  AGOSTO DE 2026</v>
      </c>
    </row>
    <row r="85" spans="2:15" ht="15.5">
      <c r="C85" s="266"/>
      <c r="E85" s="144"/>
      <c r="F85" s="145"/>
      <c r="G85" s="595"/>
    </row>
    <row r="86" spans="2:15" ht="15.5">
      <c r="B86" s="144" t="s">
        <v>215</v>
      </c>
      <c r="E86" s="144"/>
      <c r="F86" s="344"/>
      <c r="G86" s="595"/>
    </row>
    <row r="87" spans="2:15" s="99" customFormat="1" ht="18" hidden="1">
      <c r="B87" s="592" t="s">
        <v>243</v>
      </c>
      <c r="C87" s="592"/>
      <c r="D87" s="592"/>
      <c r="E87" s="592"/>
      <c r="F87" s="98"/>
      <c r="G87" s="98"/>
      <c r="O87" s="384"/>
    </row>
    <row r="88" spans="2:15" s="99" customFormat="1" ht="18.5" hidden="1" thickBot="1">
      <c r="B88" s="593" t="str">
        <f>+Ingreso!F4</f>
        <v>RECUBRIMIENTO: DUPLEX ( GALVANIZADO + POLIESTER )</v>
      </c>
      <c r="C88" s="594"/>
      <c r="D88" s="594"/>
      <c r="E88" s="594"/>
      <c r="F88" s="100"/>
      <c r="G88" s="100"/>
      <c r="O88" s="384"/>
    </row>
    <row r="89" spans="2:15" s="99" customFormat="1" ht="18.5" hidden="1" thickTop="1">
      <c r="B89" s="101"/>
      <c r="C89" s="101"/>
      <c r="D89" s="101"/>
      <c r="E89" s="101"/>
      <c r="F89" s="102"/>
      <c r="G89" s="102"/>
      <c r="O89" s="384"/>
    </row>
    <row r="90" spans="2:15" ht="14" hidden="1">
      <c r="B90" s="103" t="s">
        <v>144</v>
      </c>
      <c r="C90" s="136"/>
      <c r="D90" s="104"/>
      <c r="E90" s="105" t="s">
        <v>145</v>
      </c>
      <c r="F90" s="105"/>
    </row>
    <row r="91" spans="2:15" ht="13" hidden="1">
      <c r="B91" s="105" t="s">
        <v>113</v>
      </c>
      <c r="C91" s="136"/>
      <c r="D91" s="104"/>
      <c r="E91" s="105" t="s">
        <v>146</v>
      </c>
      <c r="F91" s="105"/>
      <c r="G91" s="108"/>
    </row>
    <row r="92" spans="2:15" ht="15.5" hidden="1">
      <c r="B92" s="109" t="s">
        <v>147</v>
      </c>
      <c r="E92" s="105" t="s">
        <v>148</v>
      </c>
      <c r="F92" s="313"/>
      <c r="G92" s="110"/>
    </row>
    <row r="93" spans="2:15" ht="15.5" hidden="1">
      <c r="B93" s="109" t="s">
        <v>149</v>
      </c>
      <c r="E93" s="105" t="s">
        <v>174</v>
      </c>
      <c r="F93" s="106"/>
    </row>
    <row r="94" spans="2:15" ht="15.5" hidden="1">
      <c r="B94" s="109" t="s">
        <v>150</v>
      </c>
      <c r="F94" s="106"/>
      <c r="G94" s="111" t="s">
        <v>151</v>
      </c>
    </row>
    <row r="95" spans="2:15" ht="16" hidden="1" thickBot="1">
      <c r="B95" s="112"/>
      <c r="C95" s="260"/>
      <c r="D95" s="113"/>
      <c r="E95" s="112"/>
      <c r="F95" s="114"/>
      <c r="G95" s="115" t="s">
        <v>152</v>
      </c>
    </row>
    <row r="96" spans="2:15" ht="16" hidden="1" thickTop="1">
      <c r="D96" s="106"/>
      <c r="G96" s="116"/>
    </row>
    <row r="97" spans="2:12" ht="15.5" hidden="1">
      <c r="B97" s="117" t="s">
        <v>153</v>
      </c>
      <c r="D97" s="118"/>
    </row>
    <row r="98" spans="2:12" ht="15.5" hidden="1">
      <c r="B98" s="117"/>
      <c r="D98" s="118"/>
      <c r="F98" s="119" t="s">
        <v>154</v>
      </c>
      <c r="G98" s="107" t="str">
        <f>+Ingreso!D12</f>
        <v>sangolqui</v>
      </c>
    </row>
    <row r="99" spans="2:12" hidden="1">
      <c r="B99" s="120" t="str">
        <f>+Ingreso!D8</f>
        <v>XXXXXXX</v>
      </c>
      <c r="C99" s="261"/>
      <c r="D99" s="120"/>
      <c r="F99" s="121" t="s">
        <v>155</v>
      </c>
      <c r="G99" s="122">
        <f>+Ingreso!D15</f>
        <v>44845</v>
      </c>
    </row>
    <row r="100" spans="2:12" hidden="1">
      <c r="B100" s="120" t="str">
        <f>+Ingreso!D9</f>
        <v>eqwqe</v>
      </c>
      <c r="C100" s="261"/>
      <c r="D100" s="120"/>
      <c r="F100" s="119" t="s">
        <v>156</v>
      </c>
      <c r="G100" s="146" t="str">
        <f>+Ingreso!D13</f>
        <v>2222222adas</v>
      </c>
    </row>
    <row r="101" spans="2:12" hidden="1">
      <c r="B101" s="120" t="str">
        <f>+Ingreso!D10</f>
        <v>Quito Norte</v>
      </c>
      <c r="C101" s="261"/>
      <c r="D101" s="120"/>
      <c r="F101" s="123" t="s">
        <v>157</v>
      </c>
      <c r="G101" s="119" t="str">
        <f>+Ingreso!D14</f>
        <v>123@gmail.com</v>
      </c>
    </row>
    <row r="102" spans="2:12" hidden="1">
      <c r="F102" s="123"/>
      <c r="G102" s="119"/>
    </row>
    <row r="103" spans="2:12" ht="16" hidden="1" thickBot="1">
      <c r="B103" s="112"/>
      <c r="C103" s="260"/>
      <c r="D103" s="113"/>
      <c r="E103" s="112"/>
      <c r="F103" s="114"/>
      <c r="G103" s="115" t="s">
        <v>152</v>
      </c>
    </row>
    <row r="104" spans="2:12" ht="16" hidden="1" thickTop="1">
      <c r="D104" s="106"/>
    </row>
    <row r="105" spans="2:12" ht="15.5" hidden="1">
      <c r="B105" s="125" t="s">
        <v>158</v>
      </c>
      <c r="D105" s="125"/>
      <c r="E105" s="124"/>
      <c r="F105" s="106"/>
      <c r="G105" s="106"/>
    </row>
    <row r="106" spans="2:12" ht="15.5" hidden="1">
      <c r="C106" s="262"/>
      <c r="D106" s="125"/>
      <c r="E106" s="124"/>
      <c r="F106" s="126"/>
      <c r="G106" s="126"/>
    </row>
    <row r="107" spans="2:12" hidden="1">
      <c r="B107" s="586" t="s">
        <v>159</v>
      </c>
      <c r="C107" s="588" t="s">
        <v>160</v>
      </c>
      <c r="D107" s="588" t="s">
        <v>161</v>
      </c>
      <c r="E107" s="590"/>
      <c r="F107" s="586" t="s">
        <v>162</v>
      </c>
      <c r="G107" s="586" t="s">
        <v>163</v>
      </c>
      <c r="K107" s="585" t="s">
        <v>131</v>
      </c>
      <c r="L107" s="585" t="s">
        <v>212</v>
      </c>
    </row>
    <row r="108" spans="2:12" hidden="1">
      <c r="B108" s="587"/>
      <c r="C108" s="589"/>
      <c r="D108" s="589"/>
      <c r="E108" s="591"/>
      <c r="F108" s="587"/>
      <c r="G108" s="587"/>
      <c r="K108" s="585"/>
      <c r="L108" s="585"/>
    </row>
    <row r="109" spans="2:12" hidden="1">
      <c r="B109" s="127"/>
      <c r="C109" s="203">
        <f>+Calculo!B51</f>
        <v>130</v>
      </c>
      <c r="D109" s="128" t="str">
        <f>+" CERCAS PRO "&amp;Ingreso!$C$4&amp;" "&amp;Ingreso!$D$27&amp;" h ="&amp;Ingreso!$D$26&amp;" Inclinación "&amp;Ingreso!$D$25*100&amp;" % "</f>
        <v xml:space="preserve"> CERCAS PRO PERIMETRAL VERDE h =2.08 Inclinación 0 % </v>
      </c>
      <c r="E109" s="129"/>
      <c r="F109" s="314"/>
      <c r="G109" s="129"/>
    </row>
    <row r="110" spans="2:12" hidden="1">
      <c r="B110" s="130"/>
      <c r="C110" s="263"/>
      <c r="D110" s="131" t="str">
        <f>IF(Ingreso!$D$24="s","CON 3 HILERAS DE ALAMBRE DE PUAS","SIN ALAMBRES DE PUAS")</f>
        <v>SIN ALAMBRES DE PUAS</v>
      </c>
      <c r="E110" s="132"/>
      <c r="F110" s="315" t="s">
        <v>164</v>
      </c>
      <c r="G110" s="316"/>
    </row>
    <row r="111" spans="2:12" hidden="1">
      <c r="B111" s="184">
        <f>+Calculo!J66</f>
        <v>667702</v>
      </c>
      <c r="C111" s="193">
        <f>+IF(B111=" "," ",Calculo!B53)</f>
        <v>53</v>
      </c>
      <c r="D111" s="227" t="str">
        <f>+IF(Ingreso!D23="N",Calculo!K66,"NO SE DISPONE OPICON CON PLACA")</f>
        <v>PostePro Urb 60x40x1,25x2.60m  Plinto/Verde</v>
      </c>
      <c r="E111" s="183"/>
      <c r="F111" s="318">
        <f>+IF(B111=" "," ",Calculo!Q66)</f>
        <v>31.93</v>
      </c>
      <c r="G111" s="318">
        <f t="shared" ref="G111:G116" si="3">IF(B111="","",F111*C111)</f>
        <v>1692.29</v>
      </c>
      <c r="K111" s="107">
        <f>+VLOOKUP(B111,CP_2026!$B$18:$L$55,3,0)</f>
        <v>5.0439999999999996</v>
      </c>
      <c r="L111" s="107">
        <f>+K111*C111</f>
        <v>267.33199999999999</v>
      </c>
    </row>
    <row r="112" spans="2:12" hidden="1">
      <c r="B112" s="184">
        <f>+Calculo!AR66</f>
        <v>667705</v>
      </c>
      <c r="C112" s="193">
        <f>+IF(B112=" "," ",Calculo!B54)</f>
        <v>53</v>
      </c>
      <c r="D112" s="178" t="str">
        <f>+IF(Ingreso!D23="N",Calculo!AS66,"")</f>
        <v xml:space="preserve">ProTapa Plastica Gris 60x40mm </v>
      </c>
      <c r="E112" s="183"/>
      <c r="F112" s="318">
        <f>+IF(B112=" "," ",Calculo!AU66)</f>
        <v>0.69</v>
      </c>
      <c r="G112" s="318">
        <f t="shared" si="3"/>
        <v>36.57</v>
      </c>
      <c r="K112" s="107">
        <f>+VLOOKUP(B112,CP_2026!$B$18:$L$55,3,0)</f>
        <v>2.8000000000000001E-2</v>
      </c>
      <c r="L112" s="107">
        <f t="shared" ref="L112:L117" si="4">+K112*C112</f>
        <v>1.484</v>
      </c>
    </row>
    <row r="113" spans="2:14" hidden="1">
      <c r="B113" s="184">
        <f>+Calculo!AA66</f>
        <v>667706</v>
      </c>
      <c r="C113" s="193">
        <f>+IF(B113=" "," ",Calculo!B55)</f>
        <v>265</v>
      </c>
      <c r="D113" s="178" t="str">
        <f>+IF(Ingreso!D23="N",Calculo!AB66,"")</f>
        <v>Fijacion Urb 37x29x7x2,5 P1/4 Verde</v>
      </c>
      <c r="E113" s="183"/>
      <c r="F113" s="318">
        <f>+IF(B113=" "," ",Calculo!AE66)</f>
        <v>0.91</v>
      </c>
      <c r="G113" s="318">
        <f t="shared" si="3"/>
        <v>241.15</v>
      </c>
      <c r="K113" s="107">
        <f>+VLOOKUP(B113,CP_2026!$B$18:$L$55,3,0)</f>
        <v>2.9000000000000001E-2</v>
      </c>
      <c r="L113" s="107">
        <f t="shared" si="4"/>
        <v>7.6850000000000005</v>
      </c>
    </row>
    <row r="114" spans="2:14" hidden="1">
      <c r="B114" s="184">
        <f>+Calculo!AG66</f>
        <v>270502</v>
      </c>
      <c r="C114" s="193">
        <f>+IF(B114=" "," ",Calculo!B56)</f>
        <v>265</v>
      </c>
      <c r="D114" s="178" t="str">
        <f>+IF(Ingreso!D23="N",Calculo!AH66,"")</f>
        <v xml:space="preserve">Perno coche 1/4"X3" INOX 316 CHN </v>
      </c>
      <c r="E114" s="183"/>
      <c r="F114" s="318">
        <f>+IF(B114=" "," ",Calculo!AK66)</f>
        <v>0.79</v>
      </c>
      <c r="G114" s="318">
        <f t="shared" si="3"/>
        <v>209.35000000000002</v>
      </c>
      <c r="K114" s="107">
        <f>+VLOOKUP(B114,CP_2026!$B$18:$L$55,3,0)</f>
        <v>0.03</v>
      </c>
      <c r="L114" s="107">
        <f t="shared" si="4"/>
        <v>7.9499999999999993</v>
      </c>
    </row>
    <row r="115" spans="2:14" hidden="1">
      <c r="B115" s="184">
        <f>+Calculo!AM66</f>
        <v>270504</v>
      </c>
      <c r="C115" s="193">
        <f>+IF(B115=" "," ",Calculo!B56)</f>
        <v>265</v>
      </c>
      <c r="D115" s="186" t="str">
        <f>+IF(Ingreso!D23="N",Calculo!AN66," ")</f>
        <v>Tuerca Seg.Emb.Autor.INOX 1/4 X19mm</v>
      </c>
      <c r="E115" s="183"/>
      <c r="F115" s="318">
        <f>+IF(B115=" "," ",Calculo!AP66)</f>
        <v>2.12</v>
      </c>
      <c r="G115" s="318">
        <f t="shared" si="3"/>
        <v>561.80000000000007</v>
      </c>
      <c r="K115" s="107">
        <f>+VLOOKUP(B115,CP_2026!$B$18:$L$55,3,0)</f>
        <v>0.01</v>
      </c>
      <c r="L115" s="107">
        <f t="shared" si="4"/>
        <v>2.65</v>
      </c>
    </row>
    <row r="116" spans="2:14" hidden="1">
      <c r="B116" s="181">
        <f>+Calculo!A66</f>
        <v>667701</v>
      </c>
      <c r="C116" s="193">
        <f>+IF(B116=" "," ",Calculo!B62)</f>
        <v>52</v>
      </c>
      <c r="D116" s="186" t="str">
        <f>+IF(Ingreso!D23="N",Calculo!B66," ")</f>
        <v>CercasPro Urb 2.08x2.50m Verde</v>
      </c>
      <c r="E116" s="183"/>
      <c r="F116" s="318">
        <f>+IF(B116=" "," ",Calculo!H66)</f>
        <v>76.739999999999995</v>
      </c>
      <c r="G116" s="318">
        <f t="shared" si="3"/>
        <v>3990.4799999999996</v>
      </c>
      <c r="K116" s="107">
        <f>+VLOOKUP(B116,CP_2026!$B$18:$L$55,3,0)</f>
        <v>15.426</v>
      </c>
      <c r="L116" s="107">
        <f t="shared" si="4"/>
        <v>802.15200000000004</v>
      </c>
    </row>
    <row r="117" spans="2:14" hidden="1">
      <c r="B117" s="184" t="str">
        <f>+IF(Calculo!E13="S",+Calculo!BL66," ")</f>
        <v xml:space="preserve"> </v>
      </c>
      <c r="C117" s="317" t="str">
        <f>IF(B117=" "," ",+C111)</f>
        <v xml:space="preserve"> </v>
      </c>
      <c r="D117" s="186" t="str">
        <f>+IF(Ingreso!D23="N",IF(B117=" "," ",Calculo!BM66)," ")</f>
        <v xml:space="preserve"> </v>
      </c>
      <c r="E117" s="183"/>
      <c r="F117" s="318" t="str">
        <f>IF(B117=" "," ",Calculo!BO66)</f>
        <v xml:space="preserve"> </v>
      </c>
      <c r="G117" s="318" t="str">
        <f>IF(B117=" "," ",IF(B117="","",F117*C117))</f>
        <v xml:space="preserve"> </v>
      </c>
      <c r="K117" s="107" t="e">
        <f>+VLOOKUP(B117,CP_2026!$B$18:$L$55,3,0)</f>
        <v>#N/A</v>
      </c>
      <c r="L117" s="107" t="e">
        <f t="shared" si="4"/>
        <v>#N/A</v>
      </c>
      <c r="N117" s="133"/>
    </row>
    <row r="118" spans="2:14" hidden="1">
      <c r="B118" s="181" t="str">
        <f>+IF(Calculo!P94="N",Calculo!AR138," ")</f>
        <v xml:space="preserve"> </v>
      </c>
      <c r="C118" s="317" t="str">
        <f>IF(B118=" "," ",+C112*4)</f>
        <v xml:space="preserve"> </v>
      </c>
      <c r="D118" s="186" t="str">
        <f>IF(B118=" "," ",Calculo!AS138)</f>
        <v xml:space="preserve"> </v>
      </c>
      <c r="E118" s="183"/>
      <c r="F118" s="318" t="str">
        <f>IF(B118=" "," ",Calculo!AU138)</f>
        <v xml:space="preserve"> </v>
      </c>
      <c r="G118" s="318" t="str">
        <f>IF(B118=" "," ",IF(B118="","",F118*C118))</f>
        <v xml:space="preserve"> </v>
      </c>
      <c r="K118" s="107" t="str">
        <f>IF(B118=" "," ",+VLOOKUP(B118,CP_2026!$B$28:$L$55,3,0))</f>
        <v xml:space="preserve"> </v>
      </c>
      <c r="L118" s="107" t="str">
        <f>+IF(B118=" "," ",K118*C118)</f>
        <v xml:space="preserve"> </v>
      </c>
    </row>
    <row r="119" spans="2:14" hidden="1">
      <c r="B119" s="181" t="str">
        <f>+IF(Calculo!E121="S",Calculo!BL138," ")</f>
        <v xml:space="preserve"> </v>
      </c>
      <c r="C119" s="193" t="str">
        <f>IF(B119=" "," ",C111)</f>
        <v xml:space="preserve"> </v>
      </c>
      <c r="D119" s="178" t="str">
        <f>IF(B119=" "," ",Calculo!BM138)</f>
        <v xml:space="preserve"> </v>
      </c>
      <c r="E119" s="179"/>
      <c r="F119" s="318" t="str">
        <f>IF(B119=" "," ",Calculo!BO138)</f>
        <v xml:space="preserve"> </v>
      </c>
      <c r="G119" s="318" t="str">
        <f>IF(B119=" "," ",IF(B119="","",F119*C119))</f>
        <v xml:space="preserve"> </v>
      </c>
      <c r="K119" s="107" t="str">
        <f>+IF(B118=" "," ",VLOOKUP(B119,CP_2026!$B$28:$L$55,3,0))</f>
        <v xml:space="preserve"> </v>
      </c>
      <c r="L119" s="107" t="str">
        <f>IF(B118=" "," ",+K119*C119)</f>
        <v xml:space="preserve"> </v>
      </c>
    </row>
    <row r="120" spans="2:14" hidden="1">
      <c r="B120" s="181" t="str">
        <f>+IF(Calculo!E121="S",Calculo!BG138," ")</f>
        <v xml:space="preserve"> </v>
      </c>
      <c r="C120" s="193" t="str">
        <f>IF(B119=" "," ",C119*3)</f>
        <v xml:space="preserve"> </v>
      </c>
      <c r="D120" s="186" t="str">
        <f>IF(B120=" "," ",+Calculo!BH138)</f>
        <v xml:space="preserve"> </v>
      </c>
      <c r="E120" s="179"/>
      <c r="F120" s="318" t="str">
        <f>IF(B120=" "," ",Calculo!BJ138)</f>
        <v xml:space="preserve"> </v>
      </c>
      <c r="G120" s="318" t="str">
        <f>IF(B120=" "," ",IF(B120="","",F120*C120))</f>
        <v xml:space="preserve"> </v>
      </c>
      <c r="K120" s="107" t="str">
        <f>+IF(B118=" "," ",VLOOKUP(B120,CP_2026!$B$28:$L$55,3,0))</f>
        <v xml:space="preserve"> </v>
      </c>
      <c r="L120" s="107" t="str">
        <f>IF(B118=" "," ",+K120*C120)</f>
        <v xml:space="preserve"> </v>
      </c>
    </row>
    <row r="121" spans="2:14" hidden="1">
      <c r="B121" s="181"/>
      <c r="C121" s="193"/>
      <c r="D121" s="178"/>
      <c r="E121" s="179"/>
      <c r="F121" s="318"/>
      <c r="G121" s="318"/>
    </row>
    <row r="122" spans="2:14" hidden="1">
      <c r="B122" s="181"/>
      <c r="C122" s="317"/>
      <c r="D122" s="180"/>
      <c r="E122" s="179"/>
      <c r="F122" s="318"/>
      <c r="G122" s="318"/>
    </row>
    <row r="123" spans="2:14" hidden="1">
      <c r="B123" s="181"/>
      <c r="C123" s="317"/>
      <c r="D123" s="180"/>
      <c r="E123" s="179"/>
      <c r="F123" s="318"/>
      <c r="G123" s="318"/>
    </row>
    <row r="124" spans="2:14" hidden="1">
      <c r="B124" s="181"/>
      <c r="C124" s="317"/>
      <c r="D124" s="180"/>
      <c r="E124" s="179"/>
      <c r="F124" s="318"/>
      <c r="G124" s="318"/>
    </row>
    <row r="125" spans="2:14" hidden="1">
      <c r="B125" s="181"/>
      <c r="C125" s="319"/>
      <c r="D125" s="178"/>
      <c r="E125" s="179"/>
      <c r="F125" s="318"/>
      <c r="G125" s="318"/>
    </row>
    <row r="126" spans="2:14" hidden="1">
      <c r="B126" s="181"/>
      <c r="C126" s="317"/>
      <c r="D126" s="178"/>
      <c r="E126" s="179"/>
      <c r="F126" s="318"/>
      <c r="G126" s="318"/>
    </row>
    <row r="127" spans="2:14" hidden="1">
      <c r="B127" s="185"/>
      <c r="C127" s="317"/>
      <c r="D127" s="180"/>
      <c r="E127" s="179"/>
      <c r="F127" s="318"/>
      <c r="G127" s="318"/>
    </row>
    <row r="128" spans="2:14" hidden="1">
      <c r="B128" s="239"/>
      <c r="C128" s="320" t="s">
        <v>259</v>
      </c>
      <c r="D128" s="240"/>
      <c r="E128" s="241"/>
      <c r="F128" s="321"/>
      <c r="G128" s="322"/>
    </row>
    <row r="129" spans="2:15" hidden="1">
      <c r="B129" s="188">
        <f>+Calculo!BB66</f>
        <v>189205</v>
      </c>
      <c r="C129" s="311">
        <f>+Calculo!B60</f>
        <v>6</v>
      </c>
      <c r="D129" s="187" t="str">
        <f>+Calculo!BC66</f>
        <v>SPRAY VERDE 077 SEYER</v>
      </c>
      <c r="E129" s="135"/>
      <c r="F129" s="318">
        <f>+Calculo!BE66</f>
        <v>3.63</v>
      </c>
      <c r="G129" s="318">
        <f>IF(B129="","",F129*C129)</f>
        <v>21.78</v>
      </c>
      <c r="K129" s="107">
        <f>+VLOOKUP(B129,CP_2026!$B$28:$L$55,3,0)</f>
        <v>0.56000000000000005</v>
      </c>
      <c r="L129" s="107">
        <f>+K129*C129</f>
        <v>3.3600000000000003</v>
      </c>
    </row>
    <row r="130" spans="2:15" hidden="1">
      <c r="B130" s="188">
        <f>+Calculo!BG66</f>
        <v>683471</v>
      </c>
      <c r="C130" s="311">
        <f>+Calculo!B61</f>
        <v>2</v>
      </c>
      <c r="D130" s="187" t="str">
        <f>+Calculo!BH66</f>
        <v>SPRAY GALV FRIO</v>
      </c>
      <c r="E130" s="135"/>
      <c r="F130" s="318">
        <f>+Calculo!BJ66</f>
        <v>31.85</v>
      </c>
      <c r="G130" s="318">
        <f>IF(B130="","",F130*C130)</f>
        <v>63.7</v>
      </c>
      <c r="K130" s="107">
        <f>+VLOOKUP(B130,CP_2026!$B$28:$L$55,3,0)</f>
        <v>0.4</v>
      </c>
      <c r="L130" s="107">
        <f>+K130*C130</f>
        <v>0.8</v>
      </c>
    </row>
    <row r="131" spans="2:15" hidden="1">
      <c r="B131" s="189"/>
      <c r="C131" s="238"/>
      <c r="D131" s="218"/>
      <c r="E131" s="135"/>
      <c r="F131" s="318"/>
      <c r="G131" s="323"/>
    </row>
    <row r="132" spans="2:15" hidden="1">
      <c r="B132" s="189"/>
      <c r="C132" s="238"/>
      <c r="D132" s="218"/>
      <c r="E132" s="135"/>
      <c r="F132" s="318"/>
      <c r="G132" s="323"/>
    </row>
    <row r="133" spans="2:15" hidden="1">
      <c r="B133" s="189"/>
      <c r="C133" s="238"/>
      <c r="D133" s="218"/>
      <c r="E133" s="135"/>
      <c r="F133" s="318"/>
      <c r="G133" s="323"/>
    </row>
    <row r="134" spans="2:15" hidden="1">
      <c r="B134" s="189"/>
      <c r="C134" s="238"/>
      <c r="D134" s="218"/>
      <c r="E134" s="135"/>
      <c r="F134" s="318"/>
      <c r="G134" s="323"/>
    </row>
    <row r="135" spans="2:15" hidden="1">
      <c r="B135" s="189"/>
      <c r="C135" s="238"/>
      <c r="D135" s="218"/>
      <c r="E135" s="135"/>
      <c r="F135" s="318"/>
      <c r="G135" s="323"/>
    </row>
    <row r="136" spans="2:15" hidden="1">
      <c r="B136" s="189"/>
      <c r="C136" s="238"/>
      <c r="D136" s="218"/>
      <c r="E136" s="135"/>
      <c r="F136" s="318"/>
      <c r="G136" s="323"/>
    </row>
    <row r="137" spans="2:15" hidden="1">
      <c r="B137" s="189"/>
      <c r="C137" s="238"/>
      <c r="D137" s="218"/>
      <c r="E137" s="135"/>
      <c r="F137" s="318"/>
      <c r="G137" s="323"/>
    </row>
    <row r="138" spans="2:15" hidden="1">
      <c r="B138" s="239"/>
      <c r="C138" s="320" t="s">
        <v>385</v>
      </c>
      <c r="D138" s="240"/>
      <c r="E138" s="241"/>
      <c r="F138" s="321"/>
      <c r="G138" s="322"/>
    </row>
    <row r="139" spans="2:15" hidden="1">
      <c r="B139" s="189" t="str">
        <f>++IF(O139="En blanco"," ",IF(Ingreso!$D$29="N"," ",+VLOOKUP(E139,CP_2026!$A$18:$L$25,2,TRUE)))</f>
        <v xml:space="preserve"> </v>
      </c>
      <c r="C139" s="257"/>
      <c r="D139" s="306"/>
      <c r="E139" s="443" t="e">
        <f>+MATCH(D139,CP_2026!$C$18:$C$25,0)</f>
        <v>#N/A</v>
      </c>
      <c r="F139" s="318" t="str">
        <f>IF(B139=" "," ",IF(Calculo!$E$10=Calculo!$I$3,+ROUND(H139*(1-Calculo!$J$3),2),+IF(Calculo!$E$10=Calculo!$I$4,+ROUND(H139*(1-Calculo!$J$4),2),+IF(Calculo!$E$10=Calculo!$I$5,+ROUND(H139*(1-Calculo!$J$5),2),+IF(Calculo!$E$10=Calculo!$I$6,+ROUND(H139*(1-Calculo!$J$6),2),+IF(Calculo!$E$10=Calculo!$I$7,+ROUND(H139*(1-Calculo!$J$7),2),+IF(Calculo!$E$10=Calculo!$I$8,+ROUND(H139*(1-Calculo!$J$8),2),H139)))))))</f>
        <v xml:space="preserve"> </v>
      </c>
      <c r="G139" s="323" t="str">
        <f>IF(B139=" "," ",IF(B139="","",F139*C139))</f>
        <v xml:space="preserve"> </v>
      </c>
      <c r="H139" s="107" t="e">
        <f>IF(B139="","",+VLOOKUP(B139,CP_2026!$B$18:$L$25,11,FALSE))</f>
        <v>#N/A</v>
      </c>
      <c r="K139" s="107" t="e">
        <f>+VLOOKUP(B139,CP_2026!$B$57:$L$77,3,0)</f>
        <v>#N/A</v>
      </c>
      <c r="L139" s="107" t="e">
        <f>+K139*C139</f>
        <v>#N/A</v>
      </c>
      <c r="O139" s="468" t="str">
        <f>IF(ISBLANK(C139),"En blanco","No está en blanco")</f>
        <v>En blanco</v>
      </c>
    </row>
    <row r="140" spans="2:15" hidden="1">
      <c r="B140" s="189" t="str">
        <f>++IF(O140="En blanco"," ",IF(Ingreso!$D$29="N"," ",+VLOOKUP(E140,CP_2026!$A$18:$L$25,2,TRUE)))</f>
        <v xml:space="preserve"> </v>
      </c>
      <c r="C140" s="257"/>
      <c r="D140" s="306"/>
      <c r="E140" s="443" t="e">
        <f>+MATCH(D140,CP_2026!$C$18:$C$25,0)</f>
        <v>#N/A</v>
      </c>
      <c r="F140" s="318" t="str">
        <f>IF(B140=" "," ",IF(Calculo!$E$10=Calculo!$I$3,+ROUND(H140*(1-Calculo!$J$3),2),+IF(Calculo!$E$10=Calculo!$I$4,+ROUND(H140*(1-Calculo!$J$4),2),+IF(Calculo!$E$10=Calculo!$I$5,+ROUND(H140*(1-Calculo!$J$5),2),+IF(Calculo!$E$10=Calculo!$I$6,+ROUND(H140*(1-Calculo!$J$6),2),+IF(Calculo!$E$10=Calculo!$I$7,+ROUND(H140*(1-Calculo!$J$7),2),+IF(Calculo!$E$10=Calculo!$I$8,+ROUND(H140*(1-Calculo!$J$8),2),H140)))))))</f>
        <v xml:space="preserve"> </v>
      </c>
      <c r="G140" s="323" t="str">
        <f>IF(B140=" "," ",IF(B140="","",F140*C140))</f>
        <v xml:space="preserve"> </v>
      </c>
      <c r="H140" s="107" t="e">
        <f>IF(B140="","",+VLOOKUP(B140,CP_2026!$B$18:$L$25,11,FALSE))</f>
        <v>#N/A</v>
      </c>
      <c r="K140" s="107" t="e">
        <f>+VLOOKUP(B140,CP_2026!$B$57:$L$77,3,0)</f>
        <v>#N/A</v>
      </c>
      <c r="L140" s="107" t="e">
        <f>+K140*C140</f>
        <v>#N/A</v>
      </c>
      <c r="O140" s="468" t="str">
        <f t="shared" ref="O140:O146" si="5">IF(ISBLANK(C140),"En blanco","No está en blanco")</f>
        <v>En blanco</v>
      </c>
    </row>
    <row r="141" spans="2:15" hidden="1">
      <c r="B141" s="189" t="str">
        <f>++IF(O141="En blanco"," ",IF(Ingreso!$D$29="N"," ",+VLOOKUP(E141,CP_2026!$A$18:$L$25,2,TRUE)))</f>
        <v xml:space="preserve"> </v>
      </c>
      <c r="C141" s="257"/>
      <c r="D141" s="306"/>
      <c r="E141" s="443" t="e">
        <f>+MATCH(D141,CP_2026!$C$18:$C$25,0)</f>
        <v>#N/A</v>
      </c>
      <c r="F141" s="318" t="str">
        <f>IF(B141=" "," ",IF(Calculo!$E$10=Calculo!$I$3,+ROUND(H141*(1-Calculo!$J$3),2),+IF(Calculo!$E$10=Calculo!$I$4,+ROUND(H141*(1-Calculo!$J$4),2),+IF(Calculo!$E$10=Calculo!$I$5,+ROUND(H141*(1-Calculo!$J$5),2),+IF(Calculo!$E$10=Calculo!$I$6,+ROUND(H141*(1-Calculo!$J$6),2),+IF(Calculo!$E$10=Calculo!$I$7,+ROUND(H141*(1-Calculo!$J$7),2),+IF(Calculo!$E$10=Calculo!$I$8,+ROUND(H141*(1-Calculo!$J$8),2),H141)))))))</f>
        <v xml:space="preserve"> </v>
      </c>
      <c r="G141" s="323" t="str">
        <f>IF(B141=" "," ",IF(B141="","",F141*C141))</f>
        <v xml:space="preserve"> </v>
      </c>
      <c r="H141" s="107" t="e">
        <f>IF(B141="","",+VLOOKUP(B141,CP_2026!$B$18:$L$25,11,FALSE))</f>
        <v>#N/A</v>
      </c>
      <c r="K141" s="107" t="e">
        <f>+VLOOKUP(B141,CP_2026!$B$57:$L$77,3,0)</f>
        <v>#N/A</v>
      </c>
      <c r="L141" s="107" t="e">
        <f>+K141*C141</f>
        <v>#N/A</v>
      </c>
      <c r="O141" s="468" t="str">
        <f t="shared" si="5"/>
        <v>En blanco</v>
      </c>
    </row>
    <row r="142" spans="2:15" hidden="1">
      <c r="B142" s="239"/>
      <c r="C142" s="320"/>
      <c r="D142" s="241"/>
      <c r="E142" s="289"/>
      <c r="F142" s="321"/>
      <c r="G142" s="322"/>
      <c r="O142" s="468"/>
    </row>
    <row r="143" spans="2:15" hidden="1">
      <c r="B143" s="269" t="str">
        <f>++IF(O143="En blanco"," ",IF(Ingreso!$D$29="N"," ",+VLOOKUP(E143,CP_2026!$A$18:$L$25,2,TRUE)))</f>
        <v xml:space="preserve"> </v>
      </c>
      <c r="C143" s="270"/>
      <c r="D143" s="307"/>
      <c r="E143" s="444" t="e">
        <f>+MATCH(D143,CP_2026!$C$18:$C$25,0)</f>
        <v>#N/A</v>
      </c>
      <c r="F143" s="345" t="str">
        <f>IF(B143=" "," ",IF(Calculo!$E$10=Calculo!$I$3,+ROUND(H143*(1-Calculo!$J$3),2),+IF(Calculo!$E$10=Calculo!$I$4,+ROUND(H143*(1-Calculo!$J$4),2),+IF(Calculo!$E$10=Calculo!$I$5,+ROUND(H143*(1-Calculo!$J$5),2),+IF(Calculo!$E$10=Calculo!$I$6,+ROUND(H143*(1-Calculo!$J$6),2),+IF(Calculo!$E$10=Calculo!$I$7,+ROUND(H143*(1-Calculo!$J$7),2),+IF(Calculo!$E$10=Calculo!$I$8,+ROUND(H143*(1-Calculo!$J$8),2),H143)))))))</f>
        <v xml:space="preserve"> </v>
      </c>
      <c r="G143" s="324" t="str">
        <f>IF(B143=" "," ",IF(B143="","",F143*C143))</f>
        <v xml:space="preserve"> </v>
      </c>
      <c r="H143" s="107" t="e">
        <f>IF(B143="","",+VLOOKUP(B143,CP_2026!$B$18:$L$25,11,FALSE))</f>
        <v>#N/A</v>
      </c>
      <c r="K143" s="107" t="e">
        <f>+VLOOKUP(B143,CP_2026!$B$57:$L$77,3,0)</f>
        <v>#N/A</v>
      </c>
      <c r="L143" s="107" t="e">
        <f>+K143*C143</f>
        <v>#N/A</v>
      </c>
      <c r="O143" s="468" t="str">
        <f t="shared" si="5"/>
        <v>En blanco</v>
      </c>
    </row>
    <row r="144" spans="2:15" hidden="1">
      <c r="B144" s="189" t="str">
        <f>++IF(O144="En blanco"," ",IF(Ingreso!$D$29="N"," ",+VLOOKUP(E144,CP_2026!$A$18:$L$25,2,TRUE)))</f>
        <v xml:space="preserve"> </v>
      </c>
      <c r="C144" s="257"/>
      <c r="D144" s="306"/>
      <c r="E144" s="443" t="e">
        <f>+MATCH(D144,CP_2026!$C$18:$C$25,0)</f>
        <v>#N/A</v>
      </c>
      <c r="F144" s="318" t="str">
        <f>IF(B144=" "," ",IF(Calculo!$E$10=Calculo!$I$3,+ROUND(H144*(1-Calculo!$J$3),2),+IF(Calculo!$E$10=Calculo!$I$4,+ROUND(H144*(1-Calculo!$J$4),2),+IF(Calculo!$E$10=Calculo!$I$5,+ROUND(H144*(1-Calculo!$J$5),2),+IF(Calculo!$E$10=Calculo!$I$6,+ROUND(H144*(1-Calculo!$J$6),2),+IF(Calculo!$E$10=Calculo!$I$7,+ROUND(H144*(1-Calculo!$J$7),2),+IF(Calculo!$E$10=Calculo!$I$8,+ROUND(H144*(1-Calculo!$J$8),2),H144)))))))</f>
        <v xml:space="preserve"> </v>
      </c>
      <c r="G144" s="323" t="str">
        <f>IF(B144=" "," ",IF(B144="","",F144*C144))</f>
        <v xml:space="preserve"> </v>
      </c>
      <c r="H144" s="107" t="e">
        <f>IF(B144="","",+VLOOKUP(B144,CP_2026!$B$18:$L$25,11,FALSE))</f>
        <v>#N/A</v>
      </c>
      <c r="K144" s="107" t="e">
        <f>+VLOOKUP(B144,CP_2026!$B$57:$L$77,3,0)</f>
        <v>#N/A</v>
      </c>
      <c r="L144" s="107" t="e">
        <f>+K144*C144</f>
        <v>#N/A</v>
      </c>
      <c r="O144" s="468" t="str">
        <f t="shared" si="5"/>
        <v>En blanco</v>
      </c>
    </row>
    <row r="145" spans="2:15" hidden="1">
      <c r="B145" s="189" t="str">
        <f>++IF(O145="En blanco"," ",IF(Ingreso!$D$29="N"," ",+VLOOKUP(E145,CP_2026!$A$18:$L$25,2,TRUE)))</f>
        <v xml:space="preserve"> </v>
      </c>
      <c r="C145" s="257"/>
      <c r="D145" s="306"/>
      <c r="E145" s="443" t="e">
        <f>+MATCH(D145,CP_2026!$C$18:$C$25,0)</f>
        <v>#N/A</v>
      </c>
      <c r="F145" s="318" t="str">
        <f>IF(B145=" "," ",IF(Calculo!$E$10=Calculo!$I$3,+ROUND(H145*(1-Calculo!$J$3),2),+IF(Calculo!$E$10=Calculo!$I$4,+ROUND(H145*(1-Calculo!$J$4),2),+IF(Calculo!$E$10=Calculo!$I$5,+ROUND(H145*(1-Calculo!$J$5),2),+IF(Calculo!$E$10=Calculo!$I$6,+ROUND(H145*(1-Calculo!$J$6),2),+IF(Calculo!$E$10=Calculo!$I$7,+ROUND(H145*(1-Calculo!$J$7),2),+IF(Calculo!$E$10=Calculo!$I$8,+ROUND(H145*(1-Calculo!$J$8),2),H145)))))))</f>
        <v xml:space="preserve"> </v>
      </c>
      <c r="G145" s="323" t="str">
        <f>IF(B145=" "," ",IF(B145="","",F145*C145))</f>
        <v xml:space="preserve"> </v>
      </c>
      <c r="H145" s="107" t="e">
        <f>IF(B145="","",+VLOOKUP(B145,CP_2026!$B$18:$L$25,11,FALSE))</f>
        <v>#N/A</v>
      </c>
      <c r="K145" s="107" t="e">
        <f>+VLOOKUP(B145,CP_2026!$B$57:$L$77,3,0)</f>
        <v>#N/A</v>
      </c>
      <c r="L145" s="107" t="e">
        <f>+K145*C145</f>
        <v>#N/A</v>
      </c>
      <c r="O145" s="468" t="str">
        <f t="shared" si="5"/>
        <v>En blanco</v>
      </c>
    </row>
    <row r="146" spans="2:15" hidden="1">
      <c r="B146" s="271" t="str">
        <f>++IF(O146="En blanco"," ",IF(Ingreso!$D$29="N"," ",+VLOOKUP(E146,CP_2026!$A$18:$L$25,2,TRUE)))</f>
        <v xml:space="preserve"> </v>
      </c>
      <c r="C146" s="258"/>
      <c r="D146" s="308"/>
      <c r="E146" s="445" t="e">
        <f>+MATCH(D146,CP_2026!$C$18:$C$25,0)</f>
        <v>#N/A</v>
      </c>
      <c r="F146" s="346" t="str">
        <f>IF(B146=" "," ",IF(Calculo!$E$10=Calculo!$I$3,+ROUND(H146*(1-Calculo!$J$3),2),+IF(Calculo!$E$10=Calculo!$I$4,+ROUND(H146*(1-Calculo!$J$4),2),+IF(Calculo!$E$10=Calculo!$I$5,+ROUND(H146*(1-Calculo!$J$5),2),+IF(Calculo!$E$10=Calculo!$I$6,+ROUND(H146*(1-Calculo!$J$6),2),+IF(Calculo!$E$10=Calculo!$I$7,+ROUND(H146*(1-Calculo!$J$7),2),+IF(Calculo!$E$10=Calculo!$I$8,+ROUND(H146*(1-Calculo!$J$8),2),H146)))))))</f>
        <v xml:space="preserve"> </v>
      </c>
      <c r="G146" s="325" t="str">
        <f>IF(B146=" "," ",IF(B146="","",F146*C146))</f>
        <v xml:space="preserve"> </v>
      </c>
      <c r="H146" s="107" t="e">
        <f>IF(B146="","",+VLOOKUP(B146,CP_2026!$B$18:$L$25,11,FALSE))</f>
        <v>#N/A</v>
      </c>
      <c r="K146" s="107" t="e">
        <f>+VLOOKUP(B146,CP_2026!$B$57:$L$77,3,0)</f>
        <v>#N/A</v>
      </c>
      <c r="L146" s="107" t="e">
        <f>+K146*C146</f>
        <v>#N/A</v>
      </c>
      <c r="O146" s="468" t="str">
        <f t="shared" si="5"/>
        <v>En blanco</v>
      </c>
    </row>
    <row r="147" spans="2:15" ht="13" hidden="1" thickBot="1">
      <c r="B147" s="134" t="s">
        <v>165</v>
      </c>
      <c r="C147" s="259" t="str">
        <f>+L147&amp;" kg "</f>
        <v xml:space="preserve">1093.413 kg </v>
      </c>
      <c r="D147" s="256"/>
      <c r="E147" s="124"/>
      <c r="F147" s="326"/>
      <c r="G147" s="136"/>
      <c r="L147" s="107">
        <f>+SUMIF(L111:L146,"&gt;0")</f>
        <v>1093.4129999999998</v>
      </c>
    </row>
    <row r="148" spans="2:15" ht="13" hidden="1">
      <c r="C148" s="264"/>
      <c r="D148" s="134"/>
      <c r="E148" s="327" t="s">
        <v>166</v>
      </c>
      <c r="F148" s="328"/>
      <c r="G148" s="329">
        <f>SUM(G111:G147)</f>
        <v>6817.119999999999</v>
      </c>
    </row>
    <row r="149" spans="2:15" ht="13" hidden="1">
      <c r="C149" s="264"/>
      <c r="D149" s="134"/>
      <c r="E149" s="330"/>
      <c r="F149" s="326"/>
      <c r="G149" s="331"/>
    </row>
    <row r="150" spans="2:15" ht="13" hidden="1">
      <c r="C150" s="264"/>
      <c r="D150" s="137"/>
      <c r="E150" s="330"/>
      <c r="F150" s="326"/>
      <c r="G150" s="331"/>
    </row>
    <row r="151" spans="2:15" hidden="1">
      <c r="C151" s="264"/>
      <c r="D151" s="137"/>
      <c r="E151" s="332" t="s">
        <v>167</v>
      </c>
      <c r="F151" s="333"/>
      <c r="G151" s="334">
        <v>0</v>
      </c>
    </row>
    <row r="152" spans="2:15" hidden="1">
      <c r="C152" s="264"/>
      <c r="D152" s="134"/>
      <c r="E152" s="335" t="s">
        <v>168</v>
      </c>
      <c r="F152" s="136"/>
      <c r="G152" s="334">
        <f>+G148-G151</f>
        <v>6817.119999999999</v>
      </c>
    </row>
    <row r="153" spans="2:15" hidden="1">
      <c r="C153" s="264"/>
      <c r="D153" s="134"/>
      <c r="E153" s="335"/>
      <c r="F153" s="136"/>
      <c r="G153" s="334"/>
    </row>
    <row r="154" spans="2:15" ht="13" hidden="1">
      <c r="C154" s="264"/>
      <c r="D154" s="134"/>
      <c r="E154" s="330" t="s">
        <v>388</v>
      </c>
      <c r="F154" s="472">
        <f>+Calculo!J11</f>
        <v>0.15</v>
      </c>
      <c r="G154" s="334">
        <f>G152*F154</f>
        <v>1022.5679999999998</v>
      </c>
    </row>
    <row r="155" spans="2:15" ht="13.5" hidden="1" thickBot="1">
      <c r="C155" s="264"/>
      <c r="D155" s="134"/>
      <c r="E155" s="330"/>
      <c r="F155" s="336"/>
      <c r="G155" s="334"/>
    </row>
    <row r="156" spans="2:15" ht="13.5" hidden="1" thickBot="1">
      <c r="C156" s="264"/>
      <c r="D156" s="134"/>
      <c r="E156" s="337" t="s">
        <v>170</v>
      </c>
      <c r="F156" s="338" t="str">
        <f>+Calculo!E56</f>
        <v>Franquicia</v>
      </c>
      <c r="G156" s="339">
        <f>G152+G154</f>
        <v>7839.6879999999983</v>
      </c>
    </row>
    <row r="157" spans="2:15" ht="18" hidden="1">
      <c r="C157" s="118"/>
      <c r="D157" s="125"/>
      <c r="E157" s="139"/>
      <c r="F157" s="139"/>
      <c r="G157" s="140"/>
    </row>
    <row r="158" spans="2:15" ht="15.5" hidden="1">
      <c r="C158" s="118"/>
      <c r="D158" s="125"/>
    </row>
    <row r="159" spans="2:15" ht="15.5" hidden="1">
      <c r="C159" s="118"/>
      <c r="D159" s="141"/>
      <c r="E159" s="340"/>
      <c r="F159" s="142"/>
      <c r="G159" s="341"/>
    </row>
    <row r="160" spans="2:15" ht="15.5" hidden="1">
      <c r="B160" s="342" t="s">
        <v>171</v>
      </c>
      <c r="C160" s="183"/>
      <c r="D160" s="177"/>
      <c r="E160" s="190"/>
      <c r="F160" s="191"/>
      <c r="G160" s="138"/>
    </row>
    <row r="161" spans="2:15" ht="15.5" hidden="1">
      <c r="C161" s="183"/>
      <c r="D161" s="177"/>
      <c r="E161" s="190"/>
      <c r="F161" s="190"/>
    </row>
    <row r="162" spans="2:15" ht="15.5" hidden="1">
      <c r="B162" s="109" t="s">
        <v>172</v>
      </c>
      <c r="D162" s="109"/>
      <c r="E162" s="190"/>
      <c r="F162" s="191"/>
      <c r="G162" s="138"/>
    </row>
    <row r="163" spans="2:15" ht="15.5" hidden="1">
      <c r="B163" s="177"/>
      <c r="C163" s="343"/>
      <c r="D163" s="177"/>
      <c r="E163" s="190"/>
      <c r="F163" s="191"/>
      <c r="G163" s="138"/>
    </row>
    <row r="164" spans="2:15" ht="15.5" hidden="1">
      <c r="B164" s="177"/>
      <c r="C164" s="343"/>
      <c r="D164" s="177"/>
      <c r="E164" s="190"/>
      <c r="F164" s="191"/>
      <c r="G164" s="138"/>
    </row>
    <row r="165" spans="2:15" ht="15.5" hidden="1">
      <c r="C165" s="265"/>
      <c r="D165" s="104"/>
      <c r="E165" s="125"/>
      <c r="F165" s="143"/>
      <c r="G165" s="104"/>
    </row>
    <row r="166" spans="2:15" ht="15.5" hidden="1">
      <c r="C166" s="118"/>
      <c r="E166" s="125"/>
      <c r="F166" s="143"/>
      <c r="G166" s="104"/>
    </row>
    <row r="167" spans="2:15" ht="15.5" hidden="1">
      <c r="B167" s="125" t="s">
        <v>173</v>
      </c>
      <c r="E167" s="144"/>
      <c r="F167" s="145"/>
      <c r="G167" s="138"/>
    </row>
    <row r="168" spans="2:15" ht="15.5" hidden="1">
      <c r="E168" s="144"/>
      <c r="F168" s="145"/>
      <c r="G168" s="138"/>
    </row>
    <row r="169" spans="2:15" ht="15.5" hidden="1">
      <c r="B169" s="107" t="str">
        <f>+Ingreso!D35</f>
        <v>Naranjo Melanie</v>
      </c>
      <c r="C169" s="266"/>
      <c r="E169" s="144"/>
      <c r="F169" s="145"/>
    </row>
    <row r="170" spans="2:15" ht="15.5" hidden="1">
      <c r="B170" s="107" t="str">
        <f>+VLOOKUP(B83,'DATOS PARTIDA'!I3:K47,2,FALSE)</f>
        <v>melanie.naranjo@bekaert.com</v>
      </c>
      <c r="C170" s="266"/>
      <c r="D170" s="133" t="str">
        <f>+VLOOKUP(B83,'DATOS PARTIDA'!I3:K47,3,FALSE)</f>
        <v>+593 98 535 0069</v>
      </c>
      <c r="E170" s="144"/>
      <c r="F170" s="145"/>
      <c r="G170" s="595" t="str">
        <f>+CP_2026!A5</f>
        <v>LISTA DE PRECIOS 
VIGENTE  AGOSTO DE 2026</v>
      </c>
    </row>
    <row r="171" spans="2:15" ht="15.5" hidden="1">
      <c r="C171" s="266"/>
      <c r="E171" s="144"/>
      <c r="F171" s="145"/>
      <c r="G171" s="595"/>
    </row>
    <row r="172" spans="2:15" ht="15.5" hidden="1">
      <c r="B172" s="144" t="s">
        <v>215</v>
      </c>
      <c r="E172" s="144"/>
      <c r="G172" s="595"/>
    </row>
    <row r="173" spans="2:15" s="99" customFormat="1" ht="18" hidden="1">
      <c r="B173" s="592" t="s">
        <v>217</v>
      </c>
      <c r="C173" s="592"/>
      <c r="D173" s="592"/>
      <c r="E173" s="592"/>
      <c r="F173" s="98"/>
      <c r="G173" s="98"/>
      <c r="O173" s="384"/>
    </row>
    <row r="174" spans="2:15" s="99" customFormat="1" ht="18.5" hidden="1" thickBot="1">
      <c r="B174" s="593" t="str">
        <f>+Ingreso!F4</f>
        <v>RECUBRIMIENTO: DUPLEX ( GALVANIZADO + POLIESTER )</v>
      </c>
      <c r="C174" s="594"/>
      <c r="D174" s="594"/>
      <c r="E174" s="594"/>
      <c r="F174" s="100"/>
      <c r="G174" s="100"/>
      <c r="O174" s="384"/>
    </row>
    <row r="175" spans="2:15" s="99" customFormat="1" ht="18.5" hidden="1" thickTop="1">
      <c r="B175" s="101"/>
      <c r="C175" s="101"/>
      <c r="D175" s="101"/>
      <c r="E175" s="101"/>
      <c r="F175" s="102"/>
      <c r="G175" s="102"/>
      <c r="O175" s="384"/>
    </row>
    <row r="176" spans="2:15" ht="14" hidden="1">
      <c r="B176" s="103" t="s">
        <v>144</v>
      </c>
      <c r="C176" s="136"/>
      <c r="D176" s="104"/>
      <c r="E176" s="105" t="s">
        <v>145</v>
      </c>
      <c r="F176" s="105"/>
    </row>
    <row r="177" spans="2:7" ht="13" hidden="1">
      <c r="B177" s="105" t="s">
        <v>113</v>
      </c>
      <c r="C177" s="136"/>
      <c r="D177" s="104"/>
      <c r="E177" s="105" t="s">
        <v>146</v>
      </c>
      <c r="F177" s="105"/>
      <c r="G177" s="108"/>
    </row>
    <row r="178" spans="2:7" ht="15.5" hidden="1">
      <c r="B178" s="109" t="s">
        <v>147</v>
      </c>
      <c r="E178" s="105" t="s">
        <v>148</v>
      </c>
      <c r="F178" s="313"/>
      <c r="G178" s="110"/>
    </row>
    <row r="179" spans="2:7" ht="15.5" hidden="1">
      <c r="B179" s="109" t="s">
        <v>149</v>
      </c>
      <c r="E179" s="105" t="s">
        <v>174</v>
      </c>
      <c r="F179" s="106"/>
    </row>
    <row r="180" spans="2:7" ht="15.5" hidden="1">
      <c r="B180" s="109" t="s">
        <v>150</v>
      </c>
      <c r="F180" s="106"/>
      <c r="G180" s="111" t="s">
        <v>151</v>
      </c>
    </row>
    <row r="181" spans="2:7" ht="16" hidden="1" thickBot="1">
      <c r="B181" s="112"/>
      <c r="C181" s="260"/>
      <c r="D181" s="113"/>
      <c r="E181" s="112"/>
      <c r="F181" s="114"/>
      <c r="G181" s="115" t="s">
        <v>152</v>
      </c>
    </row>
    <row r="182" spans="2:7" ht="16" hidden="1" thickTop="1">
      <c r="D182" s="106"/>
      <c r="G182" s="116"/>
    </row>
    <row r="183" spans="2:7" ht="15.5" hidden="1">
      <c r="B183" s="117" t="s">
        <v>153</v>
      </c>
      <c r="D183" s="118"/>
    </row>
    <row r="184" spans="2:7" ht="15.5" hidden="1">
      <c r="B184" s="117"/>
      <c r="D184" s="118"/>
      <c r="F184" s="119" t="s">
        <v>154</v>
      </c>
      <c r="G184" s="107" t="str">
        <f>+Ingreso!D12</f>
        <v>sangolqui</v>
      </c>
    </row>
    <row r="185" spans="2:7" hidden="1">
      <c r="B185" s="120" t="str">
        <f>+Ingreso!D8</f>
        <v>XXXXXXX</v>
      </c>
      <c r="C185" s="261"/>
      <c r="D185" s="120"/>
      <c r="F185" s="121" t="s">
        <v>155</v>
      </c>
      <c r="G185" s="122">
        <f>+Ingreso!D15</f>
        <v>44845</v>
      </c>
    </row>
    <row r="186" spans="2:7" hidden="1">
      <c r="B186" s="120" t="str">
        <f>+Ingreso!D9</f>
        <v>eqwqe</v>
      </c>
      <c r="C186" s="261"/>
      <c r="D186" s="120"/>
      <c r="F186" s="119" t="s">
        <v>156</v>
      </c>
      <c r="G186" s="146" t="str">
        <f>+Ingreso!D13</f>
        <v>2222222adas</v>
      </c>
    </row>
    <row r="187" spans="2:7" hidden="1">
      <c r="B187" s="120" t="str">
        <f>+Ingreso!D10</f>
        <v>Quito Norte</v>
      </c>
      <c r="C187" s="261"/>
      <c r="D187" s="120"/>
      <c r="F187" s="123" t="s">
        <v>157</v>
      </c>
      <c r="G187" s="119" t="str">
        <f>+Ingreso!D14</f>
        <v>123@gmail.com</v>
      </c>
    </row>
    <row r="188" spans="2:7" hidden="1">
      <c r="F188" s="123"/>
      <c r="G188" s="119"/>
    </row>
    <row r="189" spans="2:7" ht="16" hidden="1" thickBot="1">
      <c r="B189" s="112"/>
      <c r="C189" s="260"/>
      <c r="D189" s="113"/>
      <c r="E189" s="112"/>
      <c r="F189" s="114"/>
      <c r="G189" s="115" t="s">
        <v>152</v>
      </c>
    </row>
    <row r="190" spans="2:7" ht="16" hidden="1" thickTop="1">
      <c r="D190" s="106"/>
    </row>
    <row r="191" spans="2:7" ht="15.5" hidden="1">
      <c r="B191" s="125" t="s">
        <v>158</v>
      </c>
      <c r="D191" s="125"/>
      <c r="E191" s="124"/>
      <c r="F191" s="106"/>
      <c r="G191" s="106"/>
    </row>
    <row r="192" spans="2:7" ht="15.5" hidden="1">
      <c r="C192" s="262"/>
      <c r="D192" s="125"/>
      <c r="E192" s="124"/>
      <c r="F192" s="126"/>
      <c r="G192" s="126"/>
    </row>
    <row r="193" spans="2:14" hidden="1">
      <c r="B193" s="586" t="s">
        <v>159</v>
      </c>
      <c r="C193" s="588" t="s">
        <v>160</v>
      </c>
      <c r="D193" s="588" t="s">
        <v>161</v>
      </c>
      <c r="E193" s="590"/>
      <c r="F193" s="586" t="s">
        <v>162</v>
      </c>
      <c r="G193" s="586" t="s">
        <v>163</v>
      </c>
      <c r="K193" s="585" t="s">
        <v>131</v>
      </c>
      <c r="L193" s="585" t="s">
        <v>212</v>
      </c>
    </row>
    <row r="194" spans="2:14" hidden="1">
      <c r="B194" s="587"/>
      <c r="C194" s="589"/>
      <c r="D194" s="589"/>
      <c r="E194" s="591"/>
      <c r="F194" s="587"/>
      <c r="G194" s="587"/>
      <c r="K194" s="585"/>
      <c r="L194" s="585"/>
    </row>
    <row r="195" spans="2:14" hidden="1">
      <c r="B195" s="127"/>
      <c r="C195" s="203">
        <f>+Calculo!B76</f>
        <v>130</v>
      </c>
      <c r="D195" s="128" t="str">
        <f>+" CERCAS PRO "&amp;Ingreso!$C$4&amp;" "&amp;Ingreso!$D$27&amp;" h = 1,25"</f>
        <v xml:space="preserve"> CERCAS PRO PERIMETRAL VERDE h = 1,25</v>
      </c>
      <c r="E195" s="129"/>
      <c r="F195" s="314"/>
      <c r="G195" s="129"/>
    </row>
    <row r="196" spans="2:14" hidden="1">
      <c r="B196" s="347"/>
      <c r="C196" s="267"/>
      <c r="D196" s="131"/>
      <c r="E196" s="132"/>
      <c r="F196" s="315" t="s">
        <v>164</v>
      </c>
      <c r="G196" s="316"/>
    </row>
    <row r="197" spans="2:14" hidden="1">
      <c r="B197" s="184">
        <f>+Calculo!A91</f>
        <v>270428</v>
      </c>
      <c r="C197" s="230">
        <f>+Calculo!B87</f>
        <v>87</v>
      </c>
      <c r="D197" s="227" t="str">
        <f>+Calculo!B91</f>
        <v>Pro Intradom 1,25x1,50m Verde</v>
      </c>
      <c r="E197" s="183"/>
      <c r="F197" s="318">
        <f>+Calculo!H91</f>
        <v>27.94</v>
      </c>
      <c r="G197" s="318">
        <f t="shared" ref="G197:G202" si="6">IF(B197="","",F197*C197)</f>
        <v>2430.7800000000002</v>
      </c>
      <c r="K197" s="107">
        <f>+VLOOKUP(B197,CP_2026!$B$8:$L$55,3,0)</f>
        <v>4.97</v>
      </c>
      <c r="L197" s="107">
        <f>+K197*C197</f>
        <v>432.39</v>
      </c>
    </row>
    <row r="198" spans="2:14" hidden="1">
      <c r="B198" s="184">
        <f>+Calculo!J94</f>
        <v>270430</v>
      </c>
      <c r="C198" s="230">
        <f>+C197+1</f>
        <v>88</v>
      </c>
      <c r="D198" s="186" t="str">
        <f>+Calculo!K94</f>
        <v>Pro Intradom Kit Poste 1.70 Verde</v>
      </c>
      <c r="E198" s="183"/>
      <c r="F198" s="318">
        <f>IF(B198=" "," ",Calculo!Q91)</f>
        <v>29.59</v>
      </c>
      <c r="G198" s="318">
        <f t="shared" si="6"/>
        <v>2603.92</v>
      </c>
      <c r="K198" s="107">
        <f>+VLOOKUP(B198,CP_2026!$B$8:$L$55,3,0)</f>
        <v>2.3199999999999998</v>
      </c>
      <c r="L198" s="107">
        <f t="shared" ref="L198:L203" si="7">+K198*C198</f>
        <v>204.16</v>
      </c>
    </row>
    <row r="199" spans="2:14" hidden="1">
      <c r="B199" s="184">
        <f>+Calculo!S91</f>
        <v>270433</v>
      </c>
      <c r="C199" s="230">
        <f>+C197/C197</f>
        <v>1</v>
      </c>
      <c r="D199" s="186" t="str">
        <f>+Calculo!T91</f>
        <v>Pro Intradom Kit Puerta Verde</v>
      </c>
      <c r="E199" s="183"/>
      <c r="F199" s="318">
        <f>+Calculo!V94</f>
        <v>126.55</v>
      </c>
      <c r="G199" s="318">
        <f t="shared" si="6"/>
        <v>126.55</v>
      </c>
      <c r="K199" s="107">
        <f>+VLOOKUP(B199,CP_2026!$B$8:$L$55,3,0)</f>
        <v>9.73</v>
      </c>
      <c r="L199" s="107">
        <f t="shared" si="7"/>
        <v>9.73</v>
      </c>
    </row>
    <row r="200" spans="2:14" hidden="1">
      <c r="B200" s="184"/>
      <c r="C200" s="230"/>
      <c r="D200" s="178"/>
      <c r="E200" s="183"/>
      <c r="F200" s="318"/>
      <c r="G200" s="318" t="str">
        <f t="shared" si="6"/>
        <v/>
      </c>
      <c r="K200" s="107" t="e">
        <f>+VLOOKUP(B200,CP_2026!$B$8:$L$55,3,0)</f>
        <v>#N/A</v>
      </c>
      <c r="L200" s="107" t="e">
        <f t="shared" si="7"/>
        <v>#N/A</v>
      </c>
    </row>
    <row r="201" spans="2:14" hidden="1">
      <c r="B201" s="184"/>
      <c r="C201" s="230"/>
      <c r="D201" s="186"/>
      <c r="E201" s="183"/>
      <c r="F201" s="318"/>
      <c r="G201" s="318" t="str">
        <f t="shared" si="6"/>
        <v/>
      </c>
      <c r="K201" s="107" t="e">
        <f>+VLOOKUP(B201,CP_2026!$B$8:$L$55,3,0)</f>
        <v>#N/A</v>
      </c>
      <c r="L201" s="107" t="e">
        <f t="shared" si="7"/>
        <v>#N/A</v>
      </c>
    </row>
    <row r="202" spans="2:14" hidden="1">
      <c r="B202" s="181"/>
      <c r="C202" s="230"/>
      <c r="D202" s="186"/>
      <c r="E202" s="183"/>
      <c r="F202" s="318"/>
      <c r="G202" s="318" t="str">
        <f t="shared" si="6"/>
        <v/>
      </c>
      <c r="K202" s="107" t="e">
        <f>+VLOOKUP(B202,CP_2026!$B$8:$L$55,3,0)</f>
        <v>#N/A</v>
      </c>
      <c r="L202" s="107" t="e">
        <f t="shared" si="7"/>
        <v>#N/A</v>
      </c>
    </row>
    <row r="203" spans="2:14" hidden="1">
      <c r="B203" s="184" t="str">
        <f>+IF(Calculo!E192="S",+Calculo!CA219," ")</f>
        <v xml:space="preserve"> </v>
      </c>
      <c r="C203" s="348" t="str">
        <f>IF(B203=" "," ",+C197*4)</f>
        <v xml:space="preserve"> </v>
      </c>
      <c r="D203" s="186" t="str">
        <f>IF(B203=" "," ",+Calculo!CB216)</f>
        <v xml:space="preserve"> </v>
      </c>
      <c r="E203" s="183"/>
      <c r="F203" s="318" t="str">
        <f>IF(B203=" "," ",+Calculo!CD219)</f>
        <v xml:space="preserve"> </v>
      </c>
      <c r="G203" s="318" t="str">
        <f>IF(B203=" "," ",IF(B203="","",F203*C203))</f>
        <v xml:space="preserve"> </v>
      </c>
      <c r="K203" s="107" t="e">
        <f>+VLOOKUP(B203,CP_2026!$B$8:$L$55,3,0)</f>
        <v>#N/A</v>
      </c>
      <c r="L203" s="107" t="e">
        <f t="shared" si="7"/>
        <v>#N/A</v>
      </c>
      <c r="N203" s="133"/>
    </row>
    <row r="204" spans="2:14" hidden="1">
      <c r="B204" s="181" t="str">
        <f>+IF(Calculo!P182="N",Calculo!AR216," ")</f>
        <v xml:space="preserve"> </v>
      </c>
      <c r="C204" s="348" t="str">
        <f>IF(B204=" "," ",+C198*4)</f>
        <v xml:space="preserve"> </v>
      </c>
      <c r="D204" s="186" t="str">
        <f>IF(B204=" "," ",Calculo!AS216)</f>
        <v xml:space="preserve"> </v>
      </c>
      <c r="E204" s="183"/>
      <c r="F204" s="318" t="str">
        <f>IF(B204=" "," ",Calculo!AU216)</f>
        <v xml:space="preserve"> </v>
      </c>
      <c r="G204" s="318" t="str">
        <f>IF(B204=" "," ",IF(B204="","",F204*C204))</f>
        <v xml:space="preserve"> </v>
      </c>
      <c r="K204" s="107" t="str">
        <f>IF(B204=" "," ",+VLOOKUP(B204,CP_2026!$B$28:$L$55,3,0))</f>
        <v xml:space="preserve"> </v>
      </c>
      <c r="L204" s="107" t="str">
        <f>+IF(B204=" "," ",K204*C204)</f>
        <v xml:space="preserve"> </v>
      </c>
    </row>
    <row r="205" spans="2:14" hidden="1">
      <c r="B205" s="181" t="str">
        <f>+IF(Calculo!E193="S",Calculo!BL216," ")</f>
        <v xml:space="preserve"> </v>
      </c>
      <c r="C205" s="230" t="str">
        <f>IF(B205=" "," ",C197)</f>
        <v xml:space="preserve"> </v>
      </c>
      <c r="D205" s="178" t="str">
        <f>IF(B205=" "," ",Calculo!BM216)</f>
        <v xml:space="preserve"> </v>
      </c>
      <c r="E205" s="179"/>
      <c r="F205" s="318" t="str">
        <f>IF(B205=" "," ",Calculo!BO216)</f>
        <v xml:space="preserve"> </v>
      </c>
      <c r="G205" s="318" t="str">
        <f>IF(B205=" "," ",IF(B205="","",F205*C205))</f>
        <v xml:space="preserve"> </v>
      </c>
      <c r="K205" s="107" t="str">
        <f>+IF(B204=" "," ",VLOOKUP(B205,CP_2026!$B$28:$L$55,3,0))</f>
        <v xml:space="preserve"> </v>
      </c>
      <c r="L205" s="107" t="str">
        <f>IF(B204=" "," ",+K205*C205)</f>
        <v xml:space="preserve"> </v>
      </c>
    </row>
    <row r="206" spans="2:14" hidden="1">
      <c r="B206" s="181" t="str">
        <f>+IF(Calculo!E193="S",Calculo!BG216," ")</f>
        <v xml:space="preserve"> </v>
      </c>
      <c r="C206" s="230" t="str">
        <f>IF(B205=" "," ",C205*3)</f>
        <v xml:space="preserve"> </v>
      </c>
      <c r="D206" s="186" t="str">
        <f>IF(B206=" "," ",+Calculo!BH216)</f>
        <v xml:space="preserve"> </v>
      </c>
      <c r="E206" s="179"/>
      <c r="F206" s="318" t="str">
        <f>IF(B206=" "," ",Calculo!BJ216)</f>
        <v xml:space="preserve"> </v>
      </c>
      <c r="G206" s="318" t="str">
        <f>IF(B206=" "," ",IF(B206="","",F206*C206))</f>
        <v xml:space="preserve"> </v>
      </c>
      <c r="K206" s="107" t="str">
        <f>+IF(B204=" "," ",VLOOKUP(B206,CP_2026!$B$28:$L$55,3,0))</f>
        <v xml:space="preserve"> </v>
      </c>
      <c r="L206" s="107" t="str">
        <f>IF(B204=" "," ",+K206*C206)</f>
        <v xml:space="preserve"> </v>
      </c>
    </row>
    <row r="207" spans="2:14" hidden="1">
      <c r="B207" s="181"/>
      <c r="C207" s="230"/>
      <c r="D207" s="186"/>
      <c r="E207" s="179"/>
      <c r="F207" s="318"/>
      <c r="G207" s="318"/>
    </row>
    <row r="208" spans="2:14" hidden="1">
      <c r="B208" s="181"/>
      <c r="C208" s="230"/>
      <c r="D208" s="186"/>
      <c r="E208" s="179"/>
      <c r="F208" s="318"/>
      <c r="G208" s="318"/>
    </row>
    <row r="209" spans="2:15" hidden="1">
      <c r="B209" s="181"/>
      <c r="C209" s="230"/>
      <c r="D209" s="178"/>
      <c r="E209" s="179"/>
      <c r="F209" s="318"/>
      <c r="G209" s="318"/>
    </row>
    <row r="210" spans="2:15" hidden="1">
      <c r="B210" s="181"/>
      <c r="C210" s="348"/>
      <c r="D210" s="180"/>
      <c r="E210" s="179"/>
      <c r="F210" s="318"/>
      <c r="G210" s="318"/>
    </row>
    <row r="211" spans="2:15" hidden="1">
      <c r="B211" s="181"/>
      <c r="C211" s="349"/>
      <c r="D211" s="178"/>
      <c r="E211" s="179"/>
      <c r="F211" s="318"/>
      <c r="G211" s="318"/>
    </row>
    <row r="212" spans="2:15" hidden="1">
      <c r="B212" s="181"/>
      <c r="C212" s="348"/>
      <c r="D212" s="178"/>
      <c r="E212" s="179"/>
      <c r="F212" s="318"/>
      <c r="G212" s="318"/>
    </row>
    <row r="213" spans="2:15" hidden="1">
      <c r="B213" s="185"/>
      <c r="C213" s="348"/>
      <c r="D213" s="180"/>
      <c r="E213" s="179"/>
      <c r="F213" s="318"/>
      <c r="G213" s="318"/>
    </row>
    <row r="214" spans="2:15" hidden="1">
      <c r="B214" s="239"/>
      <c r="C214" s="320" t="s">
        <v>259</v>
      </c>
      <c r="D214" s="240"/>
      <c r="E214" s="241"/>
      <c r="F214" s="321"/>
      <c r="G214" s="322"/>
    </row>
    <row r="215" spans="2:15" hidden="1">
      <c r="B215" s="232">
        <f>+Calculo!AM91</f>
        <v>189205</v>
      </c>
      <c r="C215" s="312">
        <f>+Calculo!B13</f>
        <v>6</v>
      </c>
      <c r="D215" s="187" t="str">
        <f>+Calculo!AN91</f>
        <v>SPRAY VERDE 077 SEYER</v>
      </c>
      <c r="E215" s="135"/>
      <c r="F215" s="318">
        <f>+Calculo!AP91</f>
        <v>3.63</v>
      </c>
      <c r="G215" s="318">
        <f>IF(B215="","",F215*C215)</f>
        <v>21.78</v>
      </c>
      <c r="K215" s="107">
        <f>+VLOOKUP(B215,CP_2026!$B$28:$L$55,3,0)</f>
        <v>0.56000000000000005</v>
      </c>
      <c r="L215" s="107">
        <f>+K215*C215</f>
        <v>3.3600000000000003</v>
      </c>
    </row>
    <row r="216" spans="2:15" hidden="1">
      <c r="B216" s="233"/>
      <c r="C216" s="231"/>
      <c r="D216" s="187"/>
      <c r="E216" s="135"/>
      <c r="F216" s="318"/>
      <c r="G216" s="318"/>
      <c r="K216" s="107" t="e">
        <f>+VLOOKUP(#REF!,CP_2026!$B$28:$L$55,3,0)</f>
        <v>#REF!</v>
      </c>
      <c r="L216" s="107" t="e">
        <f>+K216*C216</f>
        <v>#REF!</v>
      </c>
    </row>
    <row r="217" spans="2:15" hidden="1">
      <c r="B217" s="234"/>
      <c r="C217" s="268"/>
      <c r="D217" s="218"/>
      <c r="E217" s="135"/>
      <c r="F217" s="318"/>
      <c r="G217" s="323"/>
    </row>
    <row r="218" spans="2:15" hidden="1">
      <c r="B218" s="234"/>
      <c r="C218" s="268"/>
      <c r="D218" s="218"/>
      <c r="E218" s="135"/>
      <c r="F218" s="318"/>
      <c r="G218" s="323"/>
    </row>
    <row r="219" spans="2:15" hidden="1">
      <c r="B219" s="233"/>
      <c r="C219" s="231"/>
      <c r="D219" s="187"/>
      <c r="E219" s="135"/>
      <c r="F219" s="318"/>
      <c r="G219" s="318"/>
      <c r="K219" s="107" t="e">
        <f>+VLOOKUP(#REF!,CP_2026!$B$28:$L$55,3,0)</f>
        <v>#REF!</v>
      </c>
      <c r="L219" s="107" t="e">
        <f>+K219*C219</f>
        <v>#REF!</v>
      </c>
    </row>
    <row r="220" spans="2:15" hidden="1">
      <c r="B220" s="234"/>
      <c r="C220" s="268"/>
      <c r="D220" s="218"/>
      <c r="E220" s="135"/>
      <c r="F220" s="318"/>
      <c r="G220" s="323"/>
    </row>
    <row r="221" spans="2:15" hidden="1">
      <c r="B221" s="233"/>
      <c r="C221" s="231"/>
      <c r="D221" s="187"/>
      <c r="E221" s="135"/>
      <c r="F221" s="318"/>
      <c r="G221" s="318"/>
      <c r="K221" s="107" t="e">
        <f>+VLOOKUP(#REF!,CP_2026!$B$28:$L$55,3,0)</f>
        <v>#REF!</v>
      </c>
      <c r="L221" s="107" t="e">
        <f>+K221*C221</f>
        <v>#REF!</v>
      </c>
    </row>
    <row r="222" spans="2:15" hidden="1">
      <c r="B222" s="234"/>
      <c r="C222" s="268"/>
      <c r="D222" s="218"/>
      <c r="E222" s="135"/>
      <c r="F222" s="318"/>
      <c r="G222" s="323"/>
    </row>
    <row r="223" spans="2:15" hidden="1">
      <c r="B223" s="233"/>
      <c r="C223" s="268"/>
      <c r="D223" s="218"/>
      <c r="E223" s="135"/>
      <c r="F223" s="318"/>
      <c r="G223" s="323"/>
    </row>
    <row r="224" spans="2:15" hidden="1">
      <c r="B224" s="239"/>
      <c r="C224" s="320" t="s">
        <v>261</v>
      </c>
      <c r="D224" s="240"/>
      <c r="E224" s="241"/>
      <c r="F224" s="321"/>
      <c r="G224" s="322"/>
      <c r="O224" s="468"/>
    </row>
    <row r="225" spans="2:15" hidden="1">
      <c r="B225" s="189" t="str">
        <f>++IF(O225="En blanco"," ",IF(Ingreso!$D$29="N"," ",+VLOOKUP(E225,CP_2026!$A$9:$L$16,2,TRUE)))</f>
        <v xml:space="preserve"> </v>
      </c>
      <c r="C225" s="257"/>
      <c r="D225" s="306"/>
      <c r="E225" s="443" t="e">
        <f>+MATCH(D225,CP_2026!$C$9:$C$16,0)</f>
        <v>#N/A</v>
      </c>
      <c r="F225" s="318" t="str">
        <f>IF(B225=" "," ",IF(Calculo!$E$10=Calculo!$I$3,+ROUND(H225*(1-Calculo!$J$3),2),+IF(Calculo!$E$10=Calculo!$I$4,+ROUND(H225*(1-Calculo!$J$4),2),+IF(Calculo!$E$10=Calculo!$I$5,+ROUND(H225*(1-Calculo!$J$5),2),+IF(Calculo!$E$10=Calculo!$I$6,+ROUND(H225*(1-Calculo!$J$6),2),+IF(Calculo!$E$10=Calculo!$I$7,+ROUND(H225*(1-Calculo!$J$7),2),+IF(Calculo!$E$10=Calculo!$I$8,+ROUND(H225*(1-Calculo!$J$8),2),H225)))))))</f>
        <v xml:space="preserve"> </v>
      </c>
      <c r="G225" s="323" t="str">
        <f>IF(B225=" "," ",IF(B225="","",F225*C225))</f>
        <v xml:space="preserve"> </v>
      </c>
      <c r="H225" s="107" t="str">
        <f>++IF(O225="En blanco"," ",IF(Ingreso!$D$29="N"," ",+VLOOKUP(E225,CP_2026!$A$9:$L$16,12,TRUE)))</f>
        <v xml:space="preserve"> </v>
      </c>
      <c r="K225" s="107" t="e">
        <f>+VLOOKUP(B225,CP_2026!$B$57:$L$77,3,0)</f>
        <v>#N/A</v>
      </c>
      <c r="L225" s="107" t="e">
        <f>+K53*C53</f>
        <v>#N/A</v>
      </c>
      <c r="O225" s="468" t="str">
        <f>IF(ISBLANK(C225),"En blanco","No está en blanco")</f>
        <v>En blanco</v>
      </c>
    </row>
    <row r="226" spans="2:15" hidden="1">
      <c r="B226" s="189" t="str">
        <f>++IF(O226="En blanco"," ",IF(Ingreso!$D$29="N"," ",+VLOOKUP(E226,CP_2026!$A$9:$L$16,2,TRUE)))</f>
        <v xml:space="preserve"> </v>
      </c>
      <c r="C226" s="257"/>
      <c r="D226" s="306"/>
      <c r="E226" s="443" t="e">
        <f>+MATCH(D226,CP_2026!$C$9:$C$16,0)</f>
        <v>#N/A</v>
      </c>
      <c r="F226" s="318" t="str">
        <f>IF(B226=" "," ",IF(Calculo!$E$10=Calculo!$I$3,+ROUND(H226*(1-Calculo!$J$3),2),+IF(Calculo!$E$10=Calculo!$I$4,+ROUND(H226*(1-Calculo!$J$4),2),+IF(Calculo!$E$10=Calculo!$I$5,+ROUND(H226*(1-Calculo!$J$5),2),+IF(Calculo!$E$10=Calculo!$I$6,+ROUND(H226*(1-Calculo!$J$6),2),+IF(Calculo!$E$10=Calculo!$I$7,+ROUND(H226*(1-Calculo!$J$7),2),+IF(Calculo!$E$10=Calculo!$I$8,+ROUND(H226*(1-Calculo!$J$8),2),H226)))))))</f>
        <v xml:space="preserve"> </v>
      </c>
      <c r="G226" s="323" t="str">
        <f>IF(B226=" "," ",IF(B226="","",F226*C226))</f>
        <v xml:space="preserve"> </v>
      </c>
      <c r="H226" s="107" t="str">
        <f>++IF(O226="En blanco"," ",IF(Ingreso!$D$29="N"," ",+VLOOKUP(E226,CP_2026!$A$9:$L$16,12,TRUE)))</f>
        <v xml:space="preserve"> </v>
      </c>
      <c r="K226" s="107" t="e">
        <f>+VLOOKUP(B226,CP_2026!$B$57:$L$77,3,0)</f>
        <v>#N/A</v>
      </c>
      <c r="L226" s="107" t="e">
        <f>+K54*C54</f>
        <v>#N/A</v>
      </c>
      <c r="O226" s="468" t="str">
        <f t="shared" ref="O226:O232" si="8">IF(ISBLANK(C226),"En blanco","No está en blanco")</f>
        <v>En blanco</v>
      </c>
    </row>
    <row r="227" spans="2:15" hidden="1">
      <c r="B227" s="189" t="str">
        <f>++IF(O227="En blanco"," ",IF(Ingreso!$D$29="N"," ",+VLOOKUP(E227,CP_2026!$A$9:$L$16,2,TRUE)))</f>
        <v xml:space="preserve"> </v>
      </c>
      <c r="C227" s="257"/>
      <c r="D227" s="306"/>
      <c r="E227" s="443" t="e">
        <f>+MATCH(D227,CP_2026!$C$9:$C$16,0)</f>
        <v>#N/A</v>
      </c>
      <c r="F227" s="318" t="str">
        <f>IF(B227=" "," ",IF(Calculo!$E$10=Calculo!$I$3,+ROUND(H227*(1-Calculo!$J$3),2),+IF(Calculo!$E$10=Calculo!$I$4,+ROUND(H227*(1-Calculo!$J$4),2),+IF(Calculo!$E$10=Calculo!$I$5,+ROUND(H227*(1-Calculo!$J$5),2),+IF(Calculo!$E$10=Calculo!$I$6,+ROUND(H227*(1-Calculo!$J$6),2),+IF(Calculo!$E$10=Calculo!$I$7,+ROUND(H227*(1-Calculo!$J$7),2),+IF(Calculo!$E$10=Calculo!$I$8,+ROUND(H227*(1-Calculo!$J$8),2),H227)))))))</f>
        <v xml:space="preserve"> </v>
      </c>
      <c r="G227" s="323" t="str">
        <f>IF(B227=" "," ",IF(B227="","",F227*C227))</f>
        <v xml:space="preserve"> </v>
      </c>
      <c r="H227" s="107" t="str">
        <f>++IF(O227="En blanco"," ",IF(Ingreso!$D$29="N"," ",+VLOOKUP(E227,CP_2026!$A$9:$L$16,12,TRUE)))</f>
        <v xml:space="preserve"> </v>
      </c>
      <c r="K227" s="107" t="e">
        <f>+VLOOKUP(B227,CP_2026!$B$57:$L$77,3,0)</f>
        <v>#N/A</v>
      </c>
      <c r="L227" s="107" t="e">
        <f>+K55*C55</f>
        <v>#N/A</v>
      </c>
      <c r="O227" s="468" t="str">
        <f t="shared" si="8"/>
        <v>En blanco</v>
      </c>
    </row>
    <row r="228" spans="2:15" hidden="1">
      <c r="B228" s="239"/>
      <c r="C228" s="320" t="s">
        <v>260</v>
      </c>
      <c r="D228" s="241"/>
      <c r="E228" s="289"/>
      <c r="F228" s="321"/>
      <c r="G228" s="322"/>
      <c r="O228" s="468"/>
    </row>
    <row r="229" spans="2:15" hidden="1">
      <c r="B229" s="269" t="str">
        <f>++IF(O229="En blanco"," ",IF(Ingreso!$D$29="N"," ",+VLOOKUP(E229,CP_2026!$A$9:$L$16,2,TRUE)))</f>
        <v xml:space="preserve"> </v>
      </c>
      <c r="C229" s="270"/>
      <c r="D229" s="307"/>
      <c r="E229" s="443" t="e">
        <f>+MATCH(D229,CP_2026!$C$9:$C$16,0)</f>
        <v>#N/A</v>
      </c>
      <c r="F229" s="345" t="str">
        <f>IF(B229=" "," ",IF(Calculo!$E$10=Calculo!$I$3,+ROUND(H229*(1-Calculo!$J$3),2),+IF(Calculo!$E$10=Calculo!$I$4,+ROUND(H229*(1-Calculo!$J$4),2),+IF(Calculo!$E$10=Calculo!$I$5,+ROUND(H229*(1-Calculo!$J$5),2),+IF(Calculo!$E$10=Calculo!$I$6,+ROUND(H229*(1-Calculo!$J$6),2),+IF(Calculo!$E$10=Calculo!$I$7,+ROUND(H229*(1-Calculo!$J$7),2),+IF(Calculo!$E$10=Calculo!$I$8,+ROUND(H229*(1-Calculo!$J$8),2),H229)))))))</f>
        <v xml:space="preserve"> </v>
      </c>
      <c r="G229" s="324" t="str">
        <f>IF(B229=" "," ",F229*C229)</f>
        <v xml:space="preserve"> </v>
      </c>
      <c r="H229" s="107" t="str">
        <f>++IF(O229="En blanco"," ",IF(Ingreso!$D$29="N"," ",+VLOOKUP(E229,CP_2026!$A$9:$L$16,12,TRUE)))</f>
        <v xml:space="preserve"> </v>
      </c>
      <c r="K229" s="107" t="e">
        <f>+VLOOKUP(B229,CP_2026!$B$57:$L$77,3,0)</f>
        <v>#N/A</v>
      </c>
      <c r="L229" s="107" t="e">
        <f>+K57*C57</f>
        <v>#N/A</v>
      </c>
      <c r="O229" s="468" t="str">
        <f t="shared" si="8"/>
        <v>En blanco</v>
      </c>
    </row>
    <row r="230" spans="2:15" hidden="1">
      <c r="B230" s="189" t="str">
        <f>++IF(O230="En blanco"," ",IF(Ingreso!$D$29="N"," ",+VLOOKUP(E230,CP_2026!$A$9:$L$16,2,TRUE)))</f>
        <v xml:space="preserve"> </v>
      </c>
      <c r="C230" s="257"/>
      <c r="D230" s="306"/>
      <c r="E230" s="443" t="e">
        <f>+MATCH(D230,CP_2026!$C$9:$C$16,0)</f>
        <v>#N/A</v>
      </c>
      <c r="F230" s="318" t="str">
        <f>IF(B230=" "," ",IF(Calculo!$E$10=Calculo!$I$3,+ROUND(H230*(1-Calculo!$J$3),2),+IF(Calculo!$E$10=Calculo!$I$4,+ROUND(H230*(1-Calculo!$J$4),2),+IF(Calculo!$E$10=Calculo!$I$5,+ROUND(H230*(1-Calculo!$J$5),2),+IF(Calculo!$E$10=Calculo!$I$6,+ROUND(H230*(1-Calculo!$J$6),2),+IF(Calculo!$E$10=Calculo!$I$7,+ROUND(H230*(1-Calculo!$J$7),2),+IF(Calculo!$E$10=Calculo!$I$8,+ROUND(H230*(1-Calculo!$J$8),2),H230)))))))</f>
        <v xml:space="preserve"> </v>
      </c>
      <c r="G230" s="323" t="str">
        <f>IF(B230=" "," ",F230*C230)</f>
        <v xml:space="preserve"> </v>
      </c>
      <c r="H230" s="107" t="str">
        <f>++IF(O230="En blanco"," ",IF(Ingreso!$D$29="N"," ",+VLOOKUP(E230,CP_2026!$A$9:$L$16,12,TRUE)))</f>
        <v xml:space="preserve"> </v>
      </c>
      <c r="K230" s="107" t="e">
        <f>+VLOOKUP(B230,CP_2026!$B$57:$L$77,3,0)</f>
        <v>#N/A</v>
      </c>
      <c r="L230" s="107" t="e">
        <f>+K58*C58</f>
        <v>#N/A</v>
      </c>
      <c r="O230" s="468" t="str">
        <f t="shared" si="8"/>
        <v>En blanco</v>
      </c>
    </row>
    <row r="231" spans="2:15" hidden="1">
      <c r="B231" s="189" t="str">
        <f>++IF(O231="En blanco"," ",IF(Ingreso!$D$29="N"," ",+VLOOKUP(E231,CP_2026!$A$9:$L$16,2,TRUE)))</f>
        <v xml:space="preserve"> </v>
      </c>
      <c r="C231" s="257"/>
      <c r="D231" s="306"/>
      <c r="E231" s="443" t="e">
        <f>+MATCH(D231,CP_2026!$C$9:$C$16,0)</f>
        <v>#N/A</v>
      </c>
      <c r="F231" s="318" t="str">
        <f>IF(B231=" "," ",IF(Calculo!$E$10=Calculo!$I$3,+ROUND(H231*(1-Calculo!$J$3),2),+IF(Calculo!$E$10=Calculo!$I$4,+ROUND(H231*(1-Calculo!$J$4),2),+IF(Calculo!$E$10=Calculo!$I$5,+ROUND(H231*(1-Calculo!$J$5),2),+IF(Calculo!$E$10=Calculo!$I$6,+ROUND(H231*(1-Calculo!$J$6),2),+IF(Calculo!$E$10=Calculo!$I$7,+ROUND(H231*(1-Calculo!$J$7),2),+IF(Calculo!$E$10=Calculo!$I$8,+ROUND(H231*(1-Calculo!$J$8),2),H231)))))))</f>
        <v xml:space="preserve"> </v>
      </c>
      <c r="G231" s="323" t="str">
        <f>IF(B231=" "," ",F231*C231)</f>
        <v xml:space="preserve"> </v>
      </c>
      <c r="H231" s="107" t="str">
        <f>++IF(O231="En blanco"," ",IF(Ingreso!$D$29="N"," ",+VLOOKUP(E231,CP_2026!$A$9:$L$16,12,TRUE)))</f>
        <v xml:space="preserve"> </v>
      </c>
      <c r="K231" s="107" t="e">
        <f>+VLOOKUP(B231,CP_2026!$B$57:$L$77,3,0)</f>
        <v>#N/A</v>
      </c>
      <c r="L231" s="107" t="e">
        <f>+K59*C59</f>
        <v>#N/A</v>
      </c>
      <c r="O231" s="468" t="str">
        <f t="shared" si="8"/>
        <v>En blanco</v>
      </c>
    </row>
    <row r="232" spans="2:15" hidden="1">
      <c r="B232" s="271" t="str">
        <f>++IF(O232="En blanco"," ",IF(Ingreso!$D$29="N"," ",+VLOOKUP(E232,CP_2026!$A$9:$L$16,2,TRUE)))</f>
        <v xml:space="preserve"> </v>
      </c>
      <c r="C232" s="258"/>
      <c r="D232" s="308"/>
      <c r="E232" s="445" t="e">
        <f>+MATCH(D232,CP_2026!$C$9:$C$16,0)</f>
        <v>#N/A</v>
      </c>
      <c r="F232" s="346" t="str">
        <f>IF(B232=" "," ",IF(Calculo!$E$10=Calculo!$I$3,+ROUND(H232*(1-Calculo!$J$3),2),+IF(Calculo!$E$10=Calculo!$I$4,+ROUND(H232*(1-Calculo!$J$4),2),+IF(Calculo!$E$10=Calculo!$I$5,+ROUND(H232*(1-Calculo!$J$5),2),+IF(Calculo!$E$10=Calculo!$I$6,+ROUND(H232*(1-Calculo!$J$6),2),+IF(Calculo!$E$10=Calculo!$I$7,+ROUND(H232*(1-Calculo!$J$7),2),+IF(Calculo!$E$10=Calculo!$I$8,+ROUND(H232*(1-Calculo!$J$8),2),H232)))))))</f>
        <v xml:space="preserve"> </v>
      </c>
      <c r="G232" s="325" t="str">
        <f>IF(B232=" "," ",F232*C232)</f>
        <v xml:space="preserve"> </v>
      </c>
      <c r="H232" s="107" t="str">
        <f>++IF(O232="En blanco"," ",IF(Ingreso!$D$29="N"," ",+VLOOKUP(E232,CP_2026!$A$9:$L$16,12,TRUE)))</f>
        <v xml:space="preserve"> </v>
      </c>
      <c r="K232" s="107" t="e">
        <f>+VLOOKUP(B232,CP_2026!$B$57:$L$77,3,0)</f>
        <v>#N/A</v>
      </c>
      <c r="L232" s="107" t="e">
        <f>+K60*C60</f>
        <v>#N/A</v>
      </c>
      <c r="O232" s="468" t="str">
        <f t="shared" si="8"/>
        <v>En blanco</v>
      </c>
    </row>
    <row r="233" spans="2:15" ht="13" hidden="1" thickBot="1">
      <c r="B233" s="134" t="s">
        <v>165</v>
      </c>
      <c r="C233" s="259" t="str">
        <f>+L233&amp;" kg "</f>
        <v xml:space="preserve">649.64 kg </v>
      </c>
      <c r="D233" s="256"/>
      <c r="E233" s="124"/>
      <c r="F233" s="326"/>
      <c r="G233" s="136"/>
      <c r="L233" s="107">
        <f>+SUMIF(L197:L232,"&gt;0")</f>
        <v>649.64</v>
      </c>
    </row>
    <row r="234" spans="2:15" ht="13" hidden="1">
      <c r="C234" s="264"/>
      <c r="D234" s="134"/>
      <c r="E234" s="327" t="s">
        <v>166</v>
      </c>
      <c r="F234" s="328"/>
      <c r="G234" s="329">
        <f>SUM(G197:G233)</f>
        <v>5183.0300000000007</v>
      </c>
    </row>
    <row r="235" spans="2:15" ht="13" hidden="1">
      <c r="C235" s="264"/>
      <c r="D235" s="134"/>
      <c r="E235" s="330"/>
      <c r="F235" s="326"/>
      <c r="G235" s="331"/>
    </row>
    <row r="236" spans="2:15" ht="13" hidden="1">
      <c r="C236" s="264"/>
      <c r="D236" s="137"/>
      <c r="E236" s="330"/>
      <c r="F236" s="326"/>
      <c r="G236" s="331"/>
    </row>
    <row r="237" spans="2:15" hidden="1">
      <c r="C237" s="264"/>
      <c r="D237" s="137"/>
      <c r="E237" s="332" t="s">
        <v>167</v>
      </c>
      <c r="F237" s="333"/>
      <c r="G237" s="334">
        <v>0</v>
      </c>
    </row>
    <row r="238" spans="2:15" hidden="1">
      <c r="C238" s="264"/>
      <c r="D238" s="134"/>
      <c r="E238" s="335" t="s">
        <v>168</v>
      </c>
      <c r="F238" s="136"/>
      <c r="G238" s="334">
        <f>+G234-G237</f>
        <v>5183.0300000000007</v>
      </c>
    </row>
    <row r="239" spans="2:15" hidden="1">
      <c r="C239" s="264"/>
      <c r="D239" s="134"/>
      <c r="E239" s="335"/>
      <c r="F239" s="136"/>
      <c r="G239" s="334"/>
    </row>
    <row r="240" spans="2:15" ht="13" hidden="1">
      <c r="C240" s="264"/>
      <c r="D240" s="134"/>
      <c r="E240" s="330" t="s">
        <v>388</v>
      </c>
      <c r="F240" s="472">
        <f>+Calculo!J11</f>
        <v>0.15</v>
      </c>
      <c r="G240" s="334">
        <f>G238*F240</f>
        <v>777.45450000000005</v>
      </c>
    </row>
    <row r="241" spans="2:7" ht="13.5" hidden="1" thickBot="1">
      <c r="C241" s="264"/>
      <c r="D241" s="134"/>
      <c r="E241" s="330"/>
      <c r="F241" s="336"/>
      <c r="G241" s="334"/>
    </row>
    <row r="242" spans="2:7" ht="13.5" hidden="1" thickBot="1">
      <c r="C242" s="264"/>
      <c r="D242" s="134"/>
      <c r="E242" s="337" t="s">
        <v>170</v>
      </c>
      <c r="F242" s="338" t="str">
        <f>+Calculo!E81</f>
        <v>Franquicia</v>
      </c>
      <c r="G242" s="339">
        <f>G238+G240</f>
        <v>5960.4845000000005</v>
      </c>
    </row>
    <row r="243" spans="2:7" ht="18" hidden="1">
      <c r="C243" s="118"/>
      <c r="D243" s="125"/>
      <c r="E243" s="139"/>
      <c r="F243" s="139"/>
      <c r="G243" s="140"/>
    </row>
    <row r="244" spans="2:7" ht="15.5" hidden="1">
      <c r="C244" s="118"/>
      <c r="D244" s="125"/>
    </row>
    <row r="245" spans="2:7" ht="15.5" hidden="1">
      <c r="C245" s="118"/>
      <c r="D245" s="141"/>
      <c r="E245" s="340"/>
      <c r="F245" s="142"/>
      <c r="G245" s="341"/>
    </row>
    <row r="246" spans="2:7" ht="15.5" hidden="1">
      <c r="B246" s="342" t="s">
        <v>171</v>
      </c>
      <c r="C246" s="183"/>
      <c r="D246" s="177"/>
      <c r="E246" s="190"/>
      <c r="F246" s="191"/>
      <c r="G246" s="138"/>
    </row>
    <row r="247" spans="2:7" ht="15.5" hidden="1">
      <c r="C247" s="183"/>
      <c r="D247" s="177"/>
      <c r="E247" s="190"/>
      <c r="F247" s="190"/>
    </row>
    <row r="248" spans="2:7" ht="15.5" hidden="1">
      <c r="B248" s="109" t="s">
        <v>172</v>
      </c>
      <c r="D248" s="109"/>
      <c r="E248" s="190"/>
      <c r="F248" s="191"/>
      <c r="G248" s="138"/>
    </row>
    <row r="249" spans="2:7" ht="15.5" hidden="1">
      <c r="B249" s="177"/>
      <c r="C249" s="343"/>
      <c r="D249" s="177"/>
      <c r="E249" s="190"/>
      <c r="F249" s="191"/>
      <c r="G249" s="138"/>
    </row>
    <row r="250" spans="2:7" ht="15.5" hidden="1">
      <c r="B250" s="177"/>
      <c r="C250" s="343"/>
      <c r="D250" s="177"/>
      <c r="E250" s="190"/>
      <c r="F250" s="191"/>
      <c r="G250" s="138"/>
    </row>
    <row r="251" spans="2:7" ht="15.5" hidden="1">
      <c r="C251" s="265"/>
      <c r="D251" s="104"/>
      <c r="E251" s="125"/>
      <c r="F251" s="143"/>
      <c r="G251" s="104"/>
    </row>
    <row r="252" spans="2:7" ht="15.5" hidden="1">
      <c r="C252" s="118"/>
      <c r="E252" s="125"/>
      <c r="F252" s="143"/>
      <c r="G252" s="104"/>
    </row>
    <row r="253" spans="2:7" ht="15.5" hidden="1">
      <c r="B253" s="125" t="s">
        <v>173</v>
      </c>
      <c r="E253" s="144"/>
      <c r="F253" s="145"/>
      <c r="G253" s="138"/>
    </row>
    <row r="254" spans="2:7" ht="15.5" hidden="1">
      <c r="E254" s="144"/>
      <c r="F254" s="145"/>
      <c r="G254" s="138"/>
    </row>
    <row r="255" spans="2:7" ht="15.5" hidden="1">
      <c r="B255" s="107" t="str">
        <f>+Ingreso!D35</f>
        <v>Naranjo Melanie</v>
      </c>
      <c r="C255" s="266"/>
      <c r="E255" s="144"/>
      <c r="F255" s="145"/>
    </row>
    <row r="256" spans="2:7" ht="15.5" hidden="1">
      <c r="B256" s="107" t="str">
        <f>+VLOOKUP(B83,'DATOS PARTIDA'!I3:K47,2,FALSE)</f>
        <v>melanie.naranjo@bekaert.com</v>
      </c>
      <c r="C256" s="266"/>
      <c r="D256" s="133" t="str">
        <f>+VLOOKUP(B83,'DATOS PARTIDA'!I3:K47,3,FALSE)</f>
        <v>+593 98 535 0069</v>
      </c>
      <c r="E256" s="144"/>
      <c r="F256" s="145"/>
      <c r="G256" s="595" t="str">
        <f>+CP_2026!A5</f>
        <v>LISTA DE PRECIOS 
VIGENTE  AGOSTO DE 2026</v>
      </c>
    </row>
    <row r="257" spans="2:15" ht="15.5" hidden="1">
      <c r="C257" s="266"/>
      <c r="E257" s="144"/>
      <c r="F257" s="145"/>
      <c r="G257" s="595"/>
    </row>
    <row r="258" spans="2:15" ht="15.5" hidden="1">
      <c r="B258" s="144" t="s">
        <v>215</v>
      </c>
      <c r="E258" s="144"/>
      <c r="G258" s="595"/>
    </row>
    <row r="259" spans="2:15" s="99" customFormat="1" ht="18" hidden="1">
      <c r="B259" s="592" t="s">
        <v>248</v>
      </c>
      <c r="C259" s="592"/>
      <c r="D259" s="592"/>
      <c r="E259" s="592"/>
      <c r="F259" s="98"/>
      <c r="G259" s="98"/>
      <c r="O259" s="384"/>
    </row>
    <row r="260" spans="2:15" s="99" customFormat="1" ht="18.5" hidden="1" thickBot="1">
      <c r="B260" s="593" t="str">
        <f>+Ingreso!F4</f>
        <v>RECUBRIMIENTO: DUPLEX ( GALVANIZADO + POLIESTER )</v>
      </c>
      <c r="C260" s="594"/>
      <c r="D260" s="594"/>
      <c r="E260" s="594"/>
      <c r="F260" s="100"/>
      <c r="G260" s="100"/>
      <c r="O260" s="384"/>
    </row>
    <row r="261" spans="2:15" s="99" customFormat="1" ht="18.5" hidden="1" thickTop="1">
      <c r="B261" s="101"/>
      <c r="C261" s="101"/>
      <c r="D261" s="101"/>
      <c r="E261" s="101"/>
      <c r="F261" s="102"/>
      <c r="G261" s="102"/>
      <c r="O261" s="384"/>
    </row>
    <row r="262" spans="2:15" ht="14" hidden="1">
      <c r="B262" s="103" t="s">
        <v>144</v>
      </c>
      <c r="C262" s="136"/>
      <c r="D262" s="104"/>
      <c r="E262" s="105" t="s">
        <v>145</v>
      </c>
      <c r="F262" s="105"/>
    </row>
    <row r="263" spans="2:15" ht="13" hidden="1">
      <c r="B263" s="105" t="s">
        <v>113</v>
      </c>
      <c r="C263" s="136"/>
      <c r="D263" s="104"/>
      <c r="E263" s="105" t="s">
        <v>146</v>
      </c>
      <c r="F263" s="105"/>
      <c r="G263" s="108"/>
    </row>
    <row r="264" spans="2:15" ht="15.5" hidden="1">
      <c r="B264" s="109" t="s">
        <v>147</v>
      </c>
      <c r="E264" s="105" t="s">
        <v>148</v>
      </c>
      <c r="F264" s="313"/>
      <c r="G264" s="110"/>
    </row>
    <row r="265" spans="2:15" ht="15.5" hidden="1">
      <c r="B265" s="109" t="s">
        <v>149</v>
      </c>
      <c r="E265" s="105" t="s">
        <v>174</v>
      </c>
      <c r="F265" s="106"/>
    </row>
    <row r="266" spans="2:15" ht="15.5" hidden="1">
      <c r="B266" s="109" t="s">
        <v>150</v>
      </c>
      <c r="F266" s="106"/>
      <c r="G266" s="111" t="s">
        <v>151</v>
      </c>
    </row>
    <row r="267" spans="2:15" ht="16" hidden="1" thickBot="1">
      <c r="B267" s="112"/>
      <c r="C267" s="260"/>
      <c r="D267" s="113"/>
      <c r="E267" s="112"/>
      <c r="F267" s="114"/>
      <c r="G267" s="115" t="s">
        <v>152</v>
      </c>
    </row>
    <row r="268" spans="2:15" ht="16" hidden="1" thickTop="1">
      <c r="D268" s="106"/>
      <c r="G268" s="116"/>
    </row>
    <row r="269" spans="2:15" ht="15.5" hidden="1">
      <c r="B269" s="117" t="s">
        <v>153</v>
      </c>
      <c r="D269" s="118"/>
    </row>
    <row r="270" spans="2:15" ht="15.5" hidden="1">
      <c r="B270" s="117"/>
      <c r="D270" s="118"/>
      <c r="F270" s="119" t="s">
        <v>154</v>
      </c>
      <c r="G270" s="107" t="str">
        <f>+Ingreso!D12</f>
        <v>sangolqui</v>
      </c>
    </row>
    <row r="271" spans="2:15" hidden="1">
      <c r="B271" s="120" t="str">
        <f>+Ingreso!D8</f>
        <v>XXXXXXX</v>
      </c>
      <c r="C271" s="261"/>
      <c r="D271" s="120"/>
      <c r="F271" s="121" t="s">
        <v>155</v>
      </c>
      <c r="G271" s="122">
        <f>+Ingreso!D15</f>
        <v>44845</v>
      </c>
    </row>
    <row r="272" spans="2:15" hidden="1">
      <c r="B272" s="120" t="str">
        <f>+Ingreso!D9</f>
        <v>eqwqe</v>
      </c>
      <c r="C272" s="261"/>
      <c r="D272" s="120"/>
      <c r="F272" s="119" t="s">
        <v>156</v>
      </c>
      <c r="G272" s="146" t="str">
        <f>+Ingreso!D13</f>
        <v>2222222adas</v>
      </c>
    </row>
    <row r="273" spans="2:12" hidden="1">
      <c r="B273" s="120" t="str">
        <f>+Ingreso!D10</f>
        <v>Quito Norte</v>
      </c>
      <c r="C273" s="261"/>
      <c r="D273" s="120"/>
      <c r="F273" s="123" t="s">
        <v>157</v>
      </c>
      <c r="G273" s="119" t="str">
        <f>+Ingreso!D14</f>
        <v>123@gmail.com</v>
      </c>
    </row>
    <row r="274" spans="2:12" hidden="1">
      <c r="F274" s="123"/>
      <c r="G274" s="119"/>
    </row>
    <row r="275" spans="2:12" ht="16" hidden="1" thickBot="1">
      <c r="B275" s="112"/>
      <c r="C275" s="260"/>
      <c r="D275" s="113"/>
      <c r="E275" s="112"/>
      <c r="F275" s="114"/>
      <c r="G275" s="115" t="s">
        <v>152</v>
      </c>
    </row>
    <row r="276" spans="2:12" ht="16" hidden="1" thickTop="1">
      <c r="D276" s="106"/>
    </row>
    <row r="277" spans="2:12" ht="15.5" hidden="1">
      <c r="B277" s="125" t="s">
        <v>158</v>
      </c>
      <c r="D277" s="125"/>
      <c r="E277" s="124"/>
      <c r="F277" s="106"/>
      <c r="G277" s="106"/>
    </row>
    <row r="278" spans="2:12" ht="15.5" hidden="1">
      <c r="C278" s="262"/>
      <c r="D278" s="125"/>
      <c r="E278" s="124"/>
      <c r="F278" s="126"/>
      <c r="G278" s="126"/>
    </row>
    <row r="279" spans="2:12" hidden="1">
      <c r="B279" s="586" t="s">
        <v>159</v>
      </c>
      <c r="C279" s="588" t="s">
        <v>160</v>
      </c>
      <c r="D279" s="588" t="s">
        <v>161</v>
      </c>
      <c r="E279" s="590"/>
      <c r="F279" s="586" t="s">
        <v>162</v>
      </c>
      <c r="G279" s="586" t="s">
        <v>163</v>
      </c>
      <c r="K279" s="585" t="s">
        <v>131</v>
      </c>
      <c r="L279" s="585" t="s">
        <v>212</v>
      </c>
    </row>
    <row r="280" spans="2:12" hidden="1">
      <c r="B280" s="587"/>
      <c r="C280" s="589"/>
      <c r="D280" s="589"/>
      <c r="E280" s="591"/>
      <c r="F280" s="587"/>
      <c r="G280" s="587"/>
      <c r="K280" s="585"/>
      <c r="L280" s="585"/>
    </row>
    <row r="281" spans="2:12" hidden="1">
      <c r="B281" s="127"/>
      <c r="C281" s="203">
        <f>+Calculo!B101</f>
        <v>130</v>
      </c>
      <c r="D281" s="128" t="str">
        <f>+" CERCAS PRO "&amp;Ingreso!$C$4&amp;" "&amp;Ingreso!$D$27&amp;" h = "&amp;Ingreso!E26&amp;" GRIS "</f>
        <v xml:space="preserve"> CERCAS PRO PERIMETRAL VERDE h = 3 GRIS </v>
      </c>
      <c r="E281" s="129"/>
      <c r="F281" s="314"/>
      <c r="G281" s="129"/>
    </row>
    <row r="282" spans="2:12" hidden="1">
      <c r="B282" s="130"/>
      <c r="C282" s="263"/>
      <c r="D282" s="131"/>
      <c r="E282" s="132"/>
      <c r="F282" s="315" t="s">
        <v>164</v>
      </c>
      <c r="G282" s="316"/>
    </row>
    <row r="283" spans="2:12" hidden="1">
      <c r="B283" s="184">
        <f>+Calculo!J117</f>
        <v>270439</v>
      </c>
      <c r="C283" s="193">
        <f>+Calculo!B103</f>
        <v>56</v>
      </c>
      <c r="D283" s="227" t="str">
        <f>+Calculo!K117</f>
        <v>Pro Max Seguridad Kit Poste 100x50x2 3,60m GRIS</v>
      </c>
      <c r="E283" s="183"/>
      <c r="F283" s="318">
        <f>+Calculo!Q117</f>
        <v>87.87</v>
      </c>
      <c r="G283" s="318">
        <f t="shared" ref="G283:G288" si="9">IF(B283="","",F283*C283)</f>
        <v>4920.72</v>
      </c>
      <c r="K283" s="107">
        <f>+VLOOKUP(B283,CP_2026!$B$8:$L$110,3,0)</f>
        <v>18.399999999999999</v>
      </c>
      <c r="L283" s="107">
        <f>+K283*C283</f>
        <v>1030.3999999999999</v>
      </c>
    </row>
    <row r="284" spans="2:12" hidden="1">
      <c r="B284" s="184">
        <f>+Calculo!S117</f>
        <v>270440</v>
      </c>
      <c r="C284" s="193">
        <f>+Calculo!B104</f>
        <v>56</v>
      </c>
      <c r="D284" s="186" t="str">
        <f>+Calculo!T117</f>
        <v>Pro Max Seguridad Tapa PVC Gris 100x50x2 Bekaert</v>
      </c>
      <c r="E284" s="183"/>
      <c r="F284" s="318">
        <f>+Calculo!V117</f>
        <v>2.0499999999999998</v>
      </c>
      <c r="G284" s="318">
        <f t="shared" si="9"/>
        <v>114.79999999999998</v>
      </c>
      <c r="K284" s="107">
        <f>+VLOOKUP(B284,CP_2026!$B$8:$L$110,3,0)</f>
        <v>0.09</v>
      </c>
      <c r="L284" s="107">
        <f t="shared" ref="L284:L289" si="10">+K284*C284</f>
        <v>5.04</v>
      </c>
    </row>
    <row r="285" spans="2:12" hidden="1">
      <c r="B285" s="184">
        <f>+Calculo!A117</f>
        <v>270436</v>
      </c>
      <c r="C285" s="193">
        <f>+Calculo!B112</f>
        <v>55</v>
      </c>
      <c r="D285" s="186" t="str">
        <f>+Calculo!B117</f>
        <v>Pro Max Seguridad 3,00x2,4m GRIS</v>
      </c>
      <c r="E285" s="183"/>
      <c r="F285" s="318">
        <f>+Calculo!H117</f>
        <v>344.59</v>
      </c>
      <c r="G285" s="318">
        <f t="shared" si="9"/>
        <v>18952.449999999997</v>
      </c>
      <c r="K285" s="107">
        <f>+VLOOKUP(B285,CP_2026!$B$8:$L$110,3,0)</f>
        <v>70.319999999999993</v>
      </c>
      <c r="L285" s="107">
        <f t="shared" si="10"/>
        <v>3867.5999999999995</v>
      </c>
    </row>
    <row r="286" spans="2:12" hidden="1">
      <c r="B286" s="184">
        <f>+Calculo!AA117</f>
        <v>645392</v>
      </c>
      <c r="C286" s="193">
        <f>+Calculo!B105</f>
        <v>448</v>
      </c>
      <c r="D286" s="186" t="str">
        <f>+Calculo!AB117</f>
        <v>Pro Max Seguridad Fijación 40x40x11x3 paso 12,7 mm GRIS</v>
      </c>
      <c r="E286" s="183"/>
      <c r="F286" s="318">
        <f>+Calculo!AD117</f>
        <v>1.94</v>
      </c>
      <c r="G286" s="318">
        <f t="shared" si="9"/>
        <v>869.12</v>
      </c>
      <c r="K286" s="107">
        <f>+VLOOKUP(B286,CP_2026!$B$8:$L$110,3,0)</f>
        <v>0.04</v>
      </c>
      <c r="L286" s="107">
        <f t="shared" si="10"/>
        <v>17.920000000000002</v>
      </c>
    </row>
    <row r="287" spans="2:12" hidden="1">
      <c r="B287" s="184">
        <f>+Calculo!AG117</f>
        <v>645393</v>
      </c>
      <c r="C287" s="193">
        <f>+Calculo!B106</f>
        <v>448</v>
      </c>
      <c r="D287" s="186" t="str">
        <f>+Calculo!AH117</f>
        <v>Perno coche 1/4"X5" INOX 316 CHN</v>
      </c>
      <c r="E287" s="183"/>
      <c r="F287" s="318">
        <f>+Calculo!AJ117</f>
        <v>0.98</v>
      </c>
      <c r="G287" s="318">
        <f t="shared" si="9"/>
        <v>439.03999999999996</v>
      </c>
      <c r="K287" s="107">
        <f>+VLOOKUP(B287,CP_2026!$B$8:$L$110,3,0)</f>
        <v>0.04</v>
      </c>
      <c r="L287" s="107">
        <f t="shared" si="10"/>
        <v>17.920000000000002</v>
      </c>
    </row>
    <row r="288" spans="2:12" hidden="1">
      <c r="B288" s="184">
        <f>+Calculo!AM117</f>
        <v>270504</v>
      </c>
      <c r="C288" s="193">
        <f>+C287</f>
        <v>448</v>
      </c>
      <c r="D288" s="186" t="str">
        <f>+Calculo!AN117</f>
        <v>Tuerca Seg.Emb.Autor.INOX 1/4 X19mm</v>
      </c>
      <c r="E288" s="183"/>
      <c r="F288" s="318">
        <f>+Calculo!AP117</f>
        <v>2.12</v>
      </c>
      <c r="G288" s="318">
        <f t="shared" si="9"/>
        <v>949.76</v>
      </c>
      <c r="K288" s="107">
        <f>+VLOOKUP(B288,CP_2026!$B$8:$L$110,3,0)</f>
        <v>0.01</v>
      </c>
      <c r="L288" s="107">
        <f t="shared" si="10"/>
        <v>4.4800000000000004</v>
      </c>
    </row>
    <row r="289" spans="2:15" hidden="1">
      <c r="B289" s="184" t="str">
        <f>+IF(Calculo!E270="S",+Calculo!CA297," ")</f>
        <v xml:space="preserve"> </v>
      </c>
      <c r="C289" s="317" t="str">
        <f>IF(B289=" "," ",+C283*4)</f>
        <v xml:space="preserve"> </v>
      </c>
      <c r="D289" s="186" t="str">
        <f>IF(B289=" "," ",+Calculo!CB294)</f>
        <v xml:space="preserve"> </v>
      </c>
      <c r="E289" s="183"/>
      <c r="F289" s="318" t="str">
        <f>IF(B289=" "," ",+Calculo!CD297)</f>
        <v xml:space="preserve"> </v>
      </c>
      <c r="G289" s="318" t="str">
        <f>IF(B289=" "," ",IF(B289="","",F289*C289))</f>
        <v xml:space="preserve"> </v>
      </c>
      <c r="K289" s="107" t="e">
        <f>+VLOOKUP(B289,CP_2026!$B$8:$L$110,3,0)</f>
        <v>#N/A</v>
      </c>
      <c r="L289" s="107" t="e">
        <f t="shared" si="10"/>
        <v>#N/A</v>
      </c>
      <c r="N289" s="133"/>
    </row>
    <row r="290" spans="2:15" hidden="1">
      <c r="B290" s="181" t="str">
        <f>+IF(Calculo!P260="N",Calculo!AR294," ")</f>
        <v xml:space="preserve"> </v>
      </c>
      <c r="C290" s="317" t="str">
        <f>IF(B290=" "," ",+C284*4)</f>
        <v xml:space="preserve"> </v>
      </c>
      <c r="D290" s="186" t="str">
        <f>IF(B290=" "," ",Calculo!AS294)</f>
        <v xml:space="preserve"> </v>
      </c>
      <c r="E290" s="183"/>
      <c r="F290" s="318" t="str">
        <f>IF(B290=" "," ",Calculo!AU294)</f>
        <v xml:space="preserve"> </v>
      </c>
      <c r="G290" s="318" t="str">
        <f>IF(B290=" "," ",IF(B290="","",F290*C290))</f>
        <v xml:space="preserve"> </v>
      </c>
      <c r="K290" s="107" t="e">
        <f>+VLOOKUP(B290,CP_2026!$B$8:$L$110,3,0)</f>
        <v>#N/A</v>
      </c>
      <c r="L290" s="107" t="str">
        <f>+IF(B290=" "," ",K290*C290)</f>
        <v xml:space="preserve"> </v>
      </c>
      <c r="O290" s="467"/>
    </row>
    <row r="291" spans="2:15" hidden="1">
      <c r="B291" s="181"/>
      <c r="C291" s="317"/>
      <c r="D291" s="186"/>
      <c r="E291" s="183"/>
      <c r="F291" s="318"/>
      <c r="G291" s="318"/>
    </row>
    <row r="292" spans="2:15" hidden="1">
      <c r="B292" s="181" t="str">
        <f>+IF(Calculo!E271="S",Calculo!BL294," ")</f>
        <v xml:space="preserve"> </v>
      </c>
      <c r="C292" s="193" t="str">
        <f>IF(B292=" "," ",C283)</f>
        <v xml:space="preserve"> </v>
      </c>
      <c r="D292" s="178" t="str">
        <f>IF(B292=" "," ",Calculo!BM294)</f>
        <v xml:space="preserve"> </v>
      </c>
      <c r="E292" s="179"/>
      <c r="F292" s="318" t="str">
        <f>IF(B292=" "," ",Calculo!BO294)</f>
        <v xml:space="preserve"> </v>
      </c>
      <c r="G292" s="318" t="str">
        <f>IF(B292=" "," ",IF(B292="","",F292*C292))</f>
        <v xml:space="preserve"> </v>
      </c>
      <c r="K292" s="107" t="str">
        <f>+IF(B290=" "," ",VLOOKUP(B292,CP_2026!$B$28:$L$55,3,0))</f>
        <v xml:space="preserve"> </v>
      </c>
      <c r="L292" s="107" t="str">
        <f>IF(B290=" "," ",+K292*C292)</f>
        <v xml:space="preserve"> </v>
      </c>
    </row>
    <row r="293" spans="2:15" hidden="1">
      <c r="B293" s="181" t="str">
        <f>+IF(Calculo!E271="S",Calculo!BG294," ")</f>
        <v xml:space="preserve"> </v>
      </c>
      <c r="C293" s="193" t="str">
        <f>IF(B292=" "," ",C292*3)</f>
        <v xml:space="preserve"> </v>
      </c>
      <c r="D293" s="186" t="str">
        <f>IF(B293=" "," ",+Calculo!BH294)</f>
        <v xml:space="preserve"> </v>
      </c>
      <c r="E293" s="179"/>
      <c r="F293" s="318" t="str">
        <f>IF(B293=" "," ",Calculo!BJ294)</f>
        <v xml:space="preserve"> </v>
      </c>
      <c r="G293" s="318" t="str">
        <f>IF(B293=" "," ",IF(B293="","",F293*C293))</f>
        <v xml:space="preserve"> </v>
      </c>
      <c r="K293" s="107" t="str">
        <f>+IF(B290=" "," ",VLOOKUP(B293,CP_2026!$B$28:$L$55,3,0))</f>
        <v xml:space="preserve"> </v>
      </c>
      <c r="L293" s="107" t="str">
        <f>IF(B290=" "," ",+K293*C293)</f>
        <v xml:space="preserve"> </v>
      </c>
    </row>
    <row r="294" spans="2:15" hidden="1">
      <c r="B294" s="181"/>
      <c r="C294" s="193"/>
      <c r="D294" s="178"/>
      <c r="E294" s="179"/>
      <c r="F294" s="318"/>
      <c r="G294" s="318"/>
    </row>
    <row r="295" spans="2:15" hidden="1">
      <c r="B295" s="181"/>
      <c r="C295" s="317"/>
      <c r="D295" s="180"/>
      <c r="E295" s="179"/>
      <c r="F295" s="318"/>
      <c r="G295" s="318"/>
    </row>
    <row r="296" spans="2:15" hidden="1">
      <c r="B296" s="181"/>
      <c r="C296" s="319"/>
      <c r="D296" s="178"/>
      <c r="E296" s="179"/>
      <c r="F296" s="318"/>
      <c r="G296" s="318"/>
    </row>
    <row r="297" spans="2:15" hidden="1">
      <c r="B297" s="181"/>
      <c r="C297" s="317"/>
      <c r="D297" s="178"/>
      <c r="E297" s="179"/>
      <c r="F297" s="318"/>
      <c r="G297" s="318"/>
    </row>
    <row r="298" spans="2:15" hidden="1">
      <c r="B298" s="185"/>
      <c r="C298" s="317"/>
      <c r="D298" s="180"/>
      <c r="E298" s="179"/>
      <c r="F298" s="318"/>
      <c r="G298" s="318"/>
    </row>
    <row r="299" spans="2:15" hidden="1">
      <c r="B299" s="239"/>
      <c r="C299" s="320" t="s">
        <v>259</v>
      </c>
      <c r="D299" s="240"/>
      <c r="E299" s="241"/>
      <c r="F299" s="321"/>
      <c r="G299" s="322"/>
    </row>
    <row r="300" spans="2:15" hidden="1">
      <c r="B300" s="188">
        <f>+Calculo!AR117</f>
        <v>683471</v>
      </c>
      <c r="C300" s="311">
        <f>+Calculo!B111</f>
        <v>2</v>
      </c>
      <c r="D300" s="187" t="str">
        <f>+Calculo!AS117</f>
        <v>SPRAY GALV FRIO</v>
      </c>
      <c r="E300" s="135"/>
      <c r="F300" s="318">
        <f>+Calculo!AU117</f>
        <v>31.85</v>
      </c>
      <c r="G300" s="318">
        <f>IF(B300="","",F300*C300)</f>
        <v>63.7</v>
      </c>
      <c r="K300" s="107">
        <f>+VLOOKUP(B300,CP_2026!$B$8:$L$110,3,0)</f>
        <v>0.4</v>
      </c>
      <c r="L300" s="107">
        <f>+K300*C300</f>
        <v>0.8</v>
      </c>
    </row>
    <row r="301" spans="2:15" hidden="1">
      <c r="B301" s="188"/>
      <c r="C301" s="188"/>
      <c r="D301" s="187"/>
      <c r="E301" s="135"/>
      <c r="F301" s="318"/>
      <c r="G301" s="318"/>
      <c r="K301" s="107" t="e">
        <f>+VLOOKUP(B301,CP_2026!$B$8:$L$110,3,0)</f>
        <v>#N/A</v>
      </c>
      <c r="L301" s="107" t="e">
        <f>+K301*C301</f>
        <v>#N/A</v>
      </c>
    </row>
    <row r="302" spans="2:15" hidden="1">
      <c r="B302" s="189"/>
      <c r="C302" s="238"/>
      <c r="D302" s="218"/>
      <c r="E302" s="135"/>
      <c r="F302" s="318"/>
      <c r="G302" s="323"/>
      <c r="K302" s="107" t="e">
        <f>+VLOOKUP(B302,CP_2026!$B$8:$L$110,3,0)</f>
        <v>#N/A</v>
      </c>
    </row>
    <row r="303" spans="2:15" hidden="1">
      <c r="B303" s="188"/>
      <c r="C303" s="188"/>
      <c r="D303" s="187"/>
      <c r="E303" s="135"/>
      <c r="F303" s="318"/>
      <c r="G303" s="318"/>
      <c r="K303" s="107" t="e">
        <f>+VLOOKUP(B303,CP_2026!$B$8:$L$110,3,0)</f>
        <v>#N/A</v>
      </c>
      <c r="L303" s="107" t="e">
        <f>+K303*C303</f>
        <v>#N/A</v>
      </c>
    </row>
    <row r="304" spans="2:15" hidden="1">
      <c r="B304" s="188"/>
      <c r="C304" s="188"/>
      <c r="D304" s="187"/>
      <c r="E304" s="135"/>
      <c r="F304" s="318"/>
      <c r="G304" s="318"/>
      <c r="K304" s="107" t="e">
        <f>+VLOOKUP(B304,CP_2026!$B$8:$L$110,3,0)</f>
        <v>#N/A</v>
      </c>
      <c r="L304" s="107" t="e">
        <f>+K304*C304</f>
        <v>#N/A</v>
      </c>
    </row>
    <row r="305" spans="2:15" hidden="1">
      <c r="B305" s="189"/>
      <c r="C305" s="238"/>
      <c r="D305" s="218"/>
      <c r="E305" s="135"/>
      <c r="F305" s="318"/>
      <c r="G305" s="323"/>
      <c r="K305" s="107" t="e">
        <f>+VLOOKUP(B305,CP_2026!$B$8:$L$110,3,0)</f>
        <v>#N/A</v>
      </c>
    </row>
    <row r="306" spans="2:15" hidden="1">
      <c r="B306" s="188"/>
      <c r="C306" s="188"/>
      <c r="D306" s="187"/>
      <c r="E306" s="135"/>
      <c r="F306" s="318"/>
      <c r="G306" s="318"/>
      <c r="K306" s="107" t="e">
        <f>+VLOOKUP(B306,CP_2026!$B$8:$L$110,3,0)</f>
        <v>#N/A</v>
      </c>
      <c r="L306" s="107" t="e">
        <f>+K306*C306</f>
        <v>#N/A</v>
      </c>
    </row>
    <row r="307" spans="2:15" hidden="1">
      <c r="B307" s="189"/>
      <c r="C307" s="238"/>
      <c r="D307" s="218"/>
      <c r="E307" s="135"/>
      <c r="F307" s="318"/>
      <c r="G307" s="323"/>
      <c r="K307" s="107" t="e">
        <f>+VLOOKUP(B307,CP_2026!$B$8:$L$110,3,0)</f>
        <v>#N/A</v>
      </c>
    </row>
    <row r="308" spans="2:15" hidden="1">
      <c r="B308" s="189"/>
      <c r="C308" s="238"/>
      <c r="D308" s="218"/>
      <c r="E308" s="135"/>
      <c r="F308" s="318"/>
      <c r="G308" s="323"/>
      <c r="K308" s="107" t="e">
        <f>+VLOOKUP(B308,CP_2026!$B$8:$L$110,3,0)</f>
        <v>#N/A</v>
      </c>
    </row>
    <row r="309" spans="2:15" hidden="1">
      <c r="B309" s="239"/>
      <c r="C309" s="320" t="s">
        <v>385</v>
      </c>
      <c r="D309" s="240"/>
      <c r="E309" s="241"/>
      <c r="F309" s="321"/>
      <c r="G309" s="322"/>
      <c r="O309" s="468"/>
    </row>
    <row r="310" spans="2:15" hidden="1">
      <c r="B310" s="438" t="str">
        <f>++IF(O310="En blanco"," ",IF(Ingreso!$D$29="N"," ",+VLOOKUP(E310,CP_2026!$A$78:$L$87,2,TRUE)))</f>
        <v xml:space="preserve"> </v>
      </c>
      <c r="C310" s="270"/>
      <c r="D310" s="307"/>
      <c r="E310" s="464" t="e">
        <f>+MATCH(D310,CP_2026!$C$78:$C$87,0)</f>
        <v>#N/A</v>
      </c>
      <c r="F310" s="345" t="str">
        <f>IF(B310=" "," ",IF(Calculo!$E$10=Calculo!$I$3,+ROUND(H310*(1-Calculo!$J$3),2),+IF(Calculo!$E$10=Calculo!$I$4,+ROUND(H310*(1-Calculo!$J$4),2),+IF(Calculo!$E$10=Calculo!$I$5,+ROUND(H310*(1-Calculo!$J$5),2),+IF(Calculo!$E$10=Calculo!$I$6,+ROUND(H310*(1-Calculo!$J$6),2),+IF(Calculo!$E$10=Calculo!$I$7,+ROUND(H310*(1-Calculo!$J$7),2),+IF(Calculo!$E$10=Calculo!$I$8,+ROUND(H310*(1-Calculo!$J$8),2),H310)))))))</f>
        <v xml:space="preserve"> </v>
      </c>
      <c r="G310" s="324" t="str">
        <f>IF(B310=" "," ",IF(B310="","",F310*C310))</f>
        <v xml:space="preserve"> </v>
      </c>
      <c r="H310" s="107" t="str">
        <f>++IF(O310="En blanco"," ",IF(Ingreso!$D$29="N"," ",+VLOOKUP(E310,CP_2026!$A$78:$L$87,12,TRUE)))</f>
        <v xml:space="preserve"> </v>
      </c>
      <c r="K310" s="107" t="e">
        <f>+VLOOKUP(B310,CP_2026!$B$57:$L$77,3,0)</f>
        <v>#N/A</v>
      </c>
      <c r="L310" s="107" t="e">
        <f>+K310*C310</f>
        <v>#N/A</v>
      </c>
      <c r="O310" s="469" t="str">
        <f>IF(ISBLANK(C310),"En blanco","No está en blanco")</f>
        <v>En blanco</v>
      </c>
    </row>
    <row r="311" spans="2:15" hidden="1">
      <c r="B311" s="233" t="str">
        <f>++IF(O311="En blanco"," ",IF(Ingreso!$D$29="N"," ",+VLOOKUP(E311,CP_2026!$A$78:$L$87,2,TRUE)))</f>
        <v xml:space="preserve"> </v>
      </c>
      <c r="C311" s="257"/>
      <c r="D311" s="306"/>
      <c r="E311" s="465" t="e">
        <f>+MATCH(D311,CP_2026!$C$78:$C$87,0)</f>
        <v>#N/A</v>
      </c>
      <c r="F311" s="318" t="str">
        <f>IF(B311=" "," ",IF(Calculo!$E$10=Calculo!$I$3,+ROUND(H311*(1-Calculo!$J$3),2),+IF(Calculo!$E$10=Calculo!$I$4,+ROUND(H311*(1-Calculo!$J$4),2),+IF(Calculo!$E$10=Calculo!$I$5,+ROUND(H311*(1-Calculo!$J$5),2),+IF(Calculo!$E$10=Calculo!$I$6,+ROUND(H311*(1-Calculo!$J$6),2),+IF(Calculo!$E$10=Calculo!$I$7,+ROUND(H311*(1-Calculo!$J$7),2),+IF(Calculo!$E$10=Calculo!$I$8,+ROUND(H311*(1-Calculo!$J$8),2),H311)))))))</f>
        <v xml:space="preserve"> </v>
      </c>
      <c r="G311" s="323" t="str">
        <f>IF(B311=" "," ",F311*C311)</f>
        <v xml:space="preserve"> </v>
      </c>
      <c r="H311" s="107" t="str">
        <f>++IF(O311="En blanco"," ",IF(Ingreso!$D$29="N"," ",+VLOOKUP(E311,CP_2026!$A$78:$L$87,12,TRUE)))</f>
        <v xml:space="preserve"> </v>
      </c>
      <c r="K311" s="107" t="e">
        <f>+VLOOKUP(B311,CP_2026!$B$57:$L$77,3,0)</f>
        <v>#N/A</v>
      </c>
      <c r="L311" s="107" t="e">
        <f t="shared" ref="L311:L317" si="11">+K311*C311</f>
        <v>#N/A</v>
      </c>
      <c r="O311" s="469" t="str">
        <f t="shared" ref="O311:O317" si="12">IF(ISBLANK(C311),"En blanco","No está en blanco")</f>
        <v>En blanco</v>
      </c>
    </row>
    <row r="312" spans="2:15" hidden="1">
      <c r="B312" s="235" t="str">
        <f>++IF(O312="En blanco"," ",IF(Ingreso!$D$29="N"," ",+VLOOKUP(E312,CP_2026!$A$78:$L$87,2,TRUE)))</f>
        <v xml:space="preserve"> </v>
      </c>
      <c r="C312" s="258"/>
      <c r="D312" s="308"/>
      <c r="E312" s="466" t="e">
        <f>+MATCH(D312,CP_2026!$C$78:$C$87,0)</f>
        <v>#N/A</v>
      </c>
      <c r="F312" s="346" t="str">
        <f>IF(B312=" "," ",IF(Calculo!$E$10=Calculo!$I$3,+ROUND(H312*(1-Calculo!$J$3),2),+IF(Calculo!$E$10=Calculo!$I$4,+ROUND(H312*(1-Calculo!$J$4),2),+IF(Calculo!$E$10=Calculo!$I$5,+ROUND(H312*(1-Calculo!$J$5),2),+IF(Calculo!$E$10=Calculo!$I$6,+ROUND(H312*(1-Calculo!$J$6),2),+IF(Calculo!$E$10=Calculo!$I$7,+ROUND(H312*(1-Calculo!$J$7),2),+IF(Calculo!$E$10=Calculo!$I$8,+ROUND(H312*(1-Calculo!$J$8),2),H312)))))))</f>
        <v xml:space="preserve"> </v>
      </c>
      <c r="G312" s="325" t="str">
        <f>IF(B312=" "," ",F312*C312)</f>
        <v xml:space="preserve"> </v>
      </c>
      <c r="H312" s="107" t="str">
        <f>++IF(O312="En blanco"," ",IF(Ingreso!$D$29="N"," ",+VLOOKUP(E312,CP_2026!$A$78:$L$87,12,TRUE)))</f>
        <v xml:space="preserve"> </v>
      </c>
      <c r="K312" s="107" t="e">
        <f>+VLOOKUP(B312,CP_2026!$B$57:$L$77,3,0)</f>
        <v>#N/A</v>
      </c>
      <c r="L312" s="107" t="e">
        <f t="shared" si="11"/>
        <v>#N/A</v>
      </c>
      <c r="O312" s="469" t="str">
        <f t="shared" si="12"/>
        <v>En blanco</v>
      </c>
    </row>
    <row r="313" spans="2:15" hidden="1">
      <c r="B313" s="239"/>
      <c r="C313" s="320" t="s">
        <v>260</v>
      </c>
      <c r="D313" s="241"/>
      <c r="E313" s="289"/>
      <c r="F313" s="321"/>
      <c r="G313" s="322"/>
      <c r="O313" s="468"/>
    </row>
    <row r="314" spans="2:15" hidden="1">
      <c r="B314" s="438" t="str">
        <f>++IF(O314="En blanco"," ",IF(Ingreso!$D$29="N"," ",+VLOOKUP(E314,CP_2026!$A$78:$L$87,2,TRUE)))</f>
        <v xml:space="preserve"> </v>
      </c>
      <c r="C314" s="270"/>
      <c r="D314" s="307"/>
      <c r="E314" s="444" t="e">
        <f>+MATCH(D314,CP_2026!$C$78:$C$87,0)</f>
        <v>#N/A</v>
      </c>
      <c r="F314" s="345" t="str">
        <f>IF(B314=" "," ",IF(Calculo!$E$10=Calculo!$I$3,+ROUND(H314*(1-Calculo!$J$3),2),+IF(Calculo!$E$10=Calculo!$I$4,+ROUND(H314*(1-Calculo!$J$4),2),+IF(Calculo!$E$10=Calculo!$I$5,+ROUND(H314*(1-Calculo!$J$5),2),+IF(Calculo!$E$10=Calculo!$I$6,+ROUND(H314*(1-Calculo!$J$6),2),+IF(Calculo!$E$10=Calculo!$I$7,+ROUND(H314*(1-Calculo!$J$7),2),+IF(Calculo!$E$10=Calculo!$I$8,+ROUND(H314*(1-Calculo!$J$8),2),H314)))))))</f>
        <v xml:space="preserve"> </v>
      </c>
      <c r="G314" s="324" t="str">
        <f>IF(B314=" "," ",F314*C314)</f>
        <v xml:space="preserve"> </v>
      </c>
      <c r="H314" s="107" t="str">
        <f>++IF(O314="En blanco"," ",IF(Ingreso!$D$29="N"," ",+VLOOKUP(E314,CP_2026!$A$78:$L$87,12,TRUE)))</f>
        <v xml:space="preserve"> </v>
      </c>
      <c r="K314" s="107" t="e">
        <f>+VLOOKUP(B314,CP_2026!$B$57:$L$77,3,0)</f>
        <v>#N/A</v>
      </c>
      <c r="L314" s="107" t="e">
        <f t="shared" si="11"/>
        <v>#N/A</v>
      </c>
      <c r="O314" s="469" t="str">
        <f t="shared" si="12"/>
        <v>En blanco</v>
      </c>
    </row>
    <row r="315" spans="2:15" hidden="1">
      <c r="B315" s="233" t="str">
        <f>++IF(O315="En blanco"," ",IF(Ingreso!$D$29="N"," ",+VLOOKUP(E315,CP_2026!$A$78:$L$87,2,TRUE)))</f>
        <v xml:space="preserve"> </v>
      </c>
      <c r="C315" s="257"/>
      <c r="D315" s="306"/>
      <c r="E315" s="443" t="e">
        <f>+MATCH(D315,CP_2026!$C$78:$C$87,0)</f>
        <v>#N/A</v>
      </c>
      <c r="F315" s="318" t="str">
        <f>IF(B315=" "," ",IF(Calculo!$E$10=Calculo!$I$3,+ROUND(H315*(1-Calculo!$J$3),2),+IF(Calculo!$E$10=Calculo!$I$4,+ROUND(H315*(1-Calculo!$J$4),2),+IF(Calculo!$E$10=Calculo!$I$5,+ROUND(H315*(1-Calculo!$J$5),2),+IF(Calculo!$E$10=Calculo!$I$6,+ROUND(H315*(1-Calculo!$J$6),2),+IF(Calculo!$E$10=Calculo!$I$7,+ROUND(H315*(1-Calculo!$J$7),2),+IF(Calculo!$E$10=Calculo!$I$8,+ROUND(H315*(1-Calculo!$J$8),2),H315)))))))</f>
        <v xml:space="preserve"> </v>
      </c>
      <c r="G315" s="323" t="str">
        <f>IF(B315=" "," ",F315*C315)</f>
        <v xml:space="preserve"> </v>
      </c>
      <c r="H315" s="107" t="str">
        <f>++IF(O315="En blanco"," ",IF(Ingreso!$D$29="N"," ",+VLOOKUP(E315,CP_2026!$A$78:$L$87,12,TRUE)))</f>
        <v xml:space="preserve"> </v>
      </c>
      <c r="K315" s="107" t="e">
        <f>+VLOOKUP(B315,CP_2026!$B$57:$L$77,3,0)</f>
        <v>#N/A</v>
      </c>
      <c r="L315" s="107" t="e">
        <f t="shared" si="11"/>
        <v>#N/A</v>
      </c>
      <c r="O315" s="469" t="str">
        <f t="shared" si="12"/>
        <v>En blanco</v>
      </c>
    </row>
    <row r="316" spans="2:15" hidden="1">
      <c r="B316" s="233" t="str">
        <f>++IF(O316="En blanco"," ",IF(Ingreso!$D$29="N"," ",+VLOOKUP(E316,CP_2026!$A$78:$L$87,2,TRUE)))</f>
        <v xml:space="preserve"> </v>
      </c>
      <c r="C316" s="257"/>
      <c r="D316" s="306"/>
      <c r="E316" s="443" t="e">
        <f>+MATCH(D316,CP_2026!$C$78:$C$87,0)</f>
        <v>#N/A</v>
      </c>
      <c r="F316" s="318" t="str">
        <f>IF(B316=" "," ",IF(Calculo!$E$10=Calculo!$I$3,+ROUND(H316*(1-Calculo!$J$3),2),+IF(Calculo!$E$10=Calculo!$I$4,+ROUND(H316*(1-Calculo!$J$4),2),+IF(Calculo!$E$10=Calculo!$I$5,+ROUND(H316*(1-Calculo!$J$5),2),+IF(Calculo!$E$10=Calculo!$I$6,+ROUND(H316*(1-Calculo!$J$6),2),+IF(Calculo!$E$10=Calculo!$I$7,+ROUND(H316*(1-Calculo!$J$7),2),+IF(Calculo!$E$10=Calculo!$I$8,+ROUND(H316*(1-Calculo!$J$8),2),H316)))))))</f>
        <v xml:space="preserve"> </v>
      </c>
      <c r="G316" s="323" t="str">
        <f>IF(B316=" "," ",F316*C316)</f>
        <v xml:space="preserve"> </v>
      </c>
      <c r="H316" s="107" t="str">
        <f>++IF(O316="En blanco"," ",IF(Ingreso!$D$29="N"," ",+VLOOKUP(E316,CP_2026!$A$78:$L$87,12,TRUE)))</f>
        <v xml:space="preserve"> </v>
      </c>
      <c r="K316" s="107" t="e">
        <f>+VLOOKUP(B316,CP_2026!$B$57:$L$77,3,0)</f>
        <v>#N/A</v>
      </c>
      <c r="L316" s="107" t="e">
        <f t="shared" si="11"/>
        <v>#N/A</v>
      </c>
      <c r="O316" s="469" t="str">
        <f t="shared" si="12"/>
        <v>En blanco</v>
      </c>
    </row>
    <row r="317" spans="2:15" hidden="1">
      <c r="B317" s="235" t="str">
        <f>++IF(O317="En blanco"," ",IF(Ingreso!$D$29="N"," ",+VLOOKUP(E317,CP_2026!$A$78:$L$87,2,TRUE)))</f>
        <v xml:space="preserve"> </v>
      </c>
      <c r="C317" s="258"/>
      <c r="D317" s="308"/>
      <c r="E317" s="445" t="e">
        <f>+MATCH(D317,CP_2026!$C$78:$C$87,0)</f>
        <v>#N/A</v>
      </c>
      <c r="F317" s="346" t="str">
        <f>IF(B317=" "," ",IF(Calculo!$E$10=Calculo!$I$3,+ROUND(H317*(1-Calculo!$J$3),2),+IF(Calculo!$E$10=Calculo!$I$4,+ROUND(H317*(1-Calculo!$J$4),2),+IF(Calculo!$E$10=Calculo!$I$5,+ROUND(H317*(1-Calculo!$J$5),2),+IF(Calculo!$E$10=Calculo!$I$6,+ROUND(H317*(1-Calculo!$J$6),2),+IF(Calculo!$E$10=Calculo!$I$7,+ROUND(H317*(1-Calculo!$J$7),2),+IF(Calculo!$E$10=Calculo!$I$8,+ROUND(H317*(1-Calculo!$J$8),2),H317)))))))</f>
        <v xml:space="preserve"> </v>
      </c>
      <c r="G317" s="325" t="str">
        <f>IF(B317=" "," ",F317*C317)</f>
        <v xml:space="preserve"> </v>
      </c>
      <c r="H317" s="107" t="str">
        <f>++IF(O317="En blanco"," ",IF(Ingreso!$D$29="N"," ",+VLOOKUP(E317,CP_2026!$A$78:$L$87,12,TRUE)))</f>
        <v xml:space="preserve"> </v>
      </c>
      <c r="K317" s="107" t="e">
        <f>+VLOOKUP(B317,CP_2026!$B$57:$L$77,3,0)</f>
        <v>#N/A</v>
      </c>
      <c r="L317" s="107" t="e">
        <f t="shared" si="11"/>
        <v>#N/A</v>
      </c>
      <c r="O317" s="469" t="str">
        <f t="shared" si="12"/>
        <v>En blanco</v>
      </c>
    </row>
    <row r="318" spans="2:15" ht="13" hidden="1" thickBot="1">
      <c r="B318" s="134" t="s">
        <v>165</v>
      </c>
      <c r="C318" s="259" t="str">
        <f>+L318&amp;" kg "</f>
        <v xml:space="preserve">4944.16 kg </v>
      </c>
      <c r="D318" s="256"/>
      <c r="E318" s="124"/>
      <c r="F318" s="326"/>
      <c r="G318" s="136"/>
      <c r="L318" s="107">
        <f>+SUMIF(L283:L317,"&gt;0")</f>
        <v>4944.1599999999989</v>
      </c>
      <c r="O318" s="468"/>
    </row>
    <row r="319" spans="2:15" ht="13" hidden="1">
      <c r="C319" s="264"/>
      <c r="D319" s="134"/>
      <c r="E319" s="327" t="s">
        <v>166</v>
      </c>
      <c r="F319" s="328"/>
      <c r="G319" s="329">
        <f>SUM(G283:G318)</f>
        <v>26309.589999999997</v>
      </c>
      <c r="O319" s="468"/>
    </row>
    <row r="320" spans="2:15" ht="13" hidden="1">
      <c r="C320" s="264"/>
      <c r="D320" s="134"/>
      <c r="E320" s="330"/>
      <c r="F320" s="326"/>
      <c r="G320" s="331"/>
    </row>
    <row r="321" spans="2:7" ht="13" hidden="1">
      <c r="C321" s="264"/>
      <c r="D321" s="137"/>
      <c r="E321" s="330"/>
      <c r="F321" s="326"/>
      <c r="G321" s="331"/>
    </row>
    <row r="322" spans="2:7" hidden="1">
      <c r="C322" s="264"/>
      <c r="D322" s="137"/>
      <c r="E322" s="332" t="s">
        <v>167</v>
      </c>
      <c r="F322" s="333"/>
      <c r="G322" s="334">
        <v>0</v>
      </c>
    </row>
    <row r="323" spans="2:7" hidden="1">
      <c r="C323" s="264"/>
      <c r="D323" s="134"/>
      <c r="E323" s="335" t="s">
        <v>168</v>
      </c>
      <c r="F323" s="136"/>
      <c r="G323" s="334">
        <f>+G319-G322</f>
        <v>26309.589999999997</v>
      </c>
    </row>
    <row r="324" spans="2:7" hidden="1">
      <c r="C324" s="264"/>
      <c r="D324" s="134"/>
      <c r="E324" s="335"/>
      <c r="F324" s="136"/>
      <c r="G324" s="334"/>
    </row>
    <row r="325" spans="2:7" ht="13" hidden="1">
      <c r="C325" s="264"/>
      <c r="D325" s="134"/>
      <c r="E325" s="330" t="s">
        <v>388</v>
      </c>
      <c r="F325" s="472">
        <f>+Calculo!J11</f>
        <v>0.15</v>
      </c>
      <c r="G325" s="334">
        <f>G323*F325</f>
        <v>3946.4384999999993</v>
      </c>
    </row>
    <row r="326" spans="2:7" ht="13.5" hidden="1" thickBot="1">
      <c r="C326" s="264"/>
      <c r="D326" s="134"/>
      <c r="E326" s="330"/>
      <c r="F326" s="336"/>
      <c r="G326" s="334"/>
    </row>
    <row r="327" spans="2:7" ht="13.5" hidden="1" thickBot="1">
      <c r="C327" s="264"/>
      <c r="D327" s="134"/>
      <c r="E327" s="337" t="s">
        <v>170</v>
      </c>
      <c r="F327" s="338" t="str">
        <f>+Calculo!E106</f>
        <v>Franquicia</v>
      </c>
      <c r="G327" s="339">
        <f>G323+G325</f>
        <v>30256.028499999997</v>
      </c>
    </row>
    <row r="328" spans="2:7" ht="18" hidden="1">
      <c r="C328" s="118"/>
      <c r="D328" s="125"/>
      <c r="E328" s="139"/>
      <c r="F328" s="139"/>
      <c r="G328" s="140"/>
    </row>
    <row r="329" spans="2:7" ht="15.5" hidden="1">
      <c r="C329" s="118"/>
      <c r="D329" s="125"/>
    </row>
    <row r="330" spans="2:7" ht="15.5" hidden="1">
      <c r="C330" s="118"/>
      <c r="D330" s="141"/>
      <c r="E330" s="340"/>
      <c r="F330" s="142"/>
      <c r="G330" s="341"/>
    </row>
    <row r="331" spans="2:7" ht="15.5" hidden="1">
      <c r="B331" s="342" t="s">
        <v>171</v>
      </c>
      <c r="C331" s="183"/>
      <c r="D331" s="177"/>
      <c r="E331" s="190"/>
      <c r="F331" s="191"/>
      <c r="G331" s="138"/>
    </row>
    <row r="332" spans="2:7" ht="15.5" hidden="1">
      <c r="C332" s="183"/>
      <c r="D332" s="177"/>
      <c r="E332" s="190"/>
      <c r="F332" s="190"/>
    </row>
    <row r="333" spans="2:7" ht="15.5" hidden="1">
      <c r="B333" s="109" t="s">
        <v>172</v>
      </c>
      <c r="D333" s="109"/>
      <c r="E333" s="190"/>
      <c r="F333" s="191"/>
      <c r="G333" s="138"/>
    </row>
    <row r="334" spans="2:7" ht="15.5" hidden="1">
      <c r="B334" s="177"/>
      <c r="C334" s="343"/>
      <c r="D334" s="177"/>
      <c r="E334" s="190"/>
      <c r="F334" s="191"/>
      <c r="G334" s="138"/>
    </row>
    <row r="335" spans="2:7" ht="15.5" hidden="1">
      <c r="B335" s="177"/>
      <c r="C335" s="343"/>
      <c r="D335" s="177"/>
      <c r="E335" s="190"/>
      <c r="F335" s="191"/>
      <c r="G335" s="138"/>
    </row>
    <row r="336" spans="2:7" ht="15.5" hidden="1">
      <c r="C336" s="265"/>
      <c r="D336" s="104"/>
      <c r="E336" s="125"/>
      <c r="F336" s="143"/>
      <c r="G336" s="104"/>
    </row>
    <row r="337" spans="2:7" ht="15.5" hidden="1">
      <c r="C337" s="118"/>
      <c r="E337" s="125"/>
      <c r="F337" s="143"/>
      <c r="G337" s="104"/>
    </row>
    <row r="338" spans="2:7" ht="15.5" hidden="1">
      <c r="B338" s="125" t="s">
        <v>173</v>
      </c>
      <c r="E338" s="144"/>
      <c r="F338" s="145"/>
      <c r="G338" s="138"/>
    </row>
    <row r="339" spans="2:7" ht="15.5" hidden="1">
      <c r="E339" s="144"/>
      <c r="F339" s="145"/>
      <c r="G339" s="138"/>
    </row>
    <row r="340" spans="2:7" ht="15.5" hidden="1">
      <c r="B340" s="107" t="str">
        <f>+Ingreso!D35</f>
        <v>Naranjo Melanie</v>
      </c>
      <c r="C340" s="266"/>
      <c r="E340" s="144"/>
      <c r="F340" s="145"/>
    </row>
    <row r="341" spans="2:7" ht="15.5" hidden="1">
      <c r="B341" s="107" t="str">
        <f>+VLOOKUP(B83,'DATOS PARTIDA'!I3:K47,2,FALSE)</f>
        <v>melanie.naranjo@bekaert.com</v>
      </c>
      <c r="C341" s="266"/>
      <c r="D341" s="133" t="str">
        <f>+VLOOKUP(B83,'DATOS PARTIDA'!I3:K47,3,FALSE)</f>
        <v>+593 98 535 0069</v>
      </c>
      <c r="E341" s="144"/>
      <c r="F341" s="145"/>
      <c r="G341" s="595" t="str">
        <f>+CP_2026!A5</f>
        <v>LISTA DE PRECIOS 
VIGENTE  AGOSTO DE 2026</v>
      </c>
    </row>
    <row r="342" spans="2:7" ht="15.5" hidden="1">
      <c r="C342" s="266"/>
      <c r="E342" s="144"/>
      <c r="F342" s="145"/>
      <c r="G342" s="595"/>
    </row>
    <row r="343" spans="2:7" ht="15.5" hidden="1">
      <c r="B343" s="144" t="s">
        <v>215</v>
      </c>
      <c r="E343" s="144"/>
      <c r="G343" s="595"/>
    </row>
    <row r="344" spans="2:7" hidden="1"/>
  </sheetData>
  <sheetProtection sheet="1" objects="1" scenarios="1"/>
  <mergeCells count="44">
    <mergeCell ref="G256:G258"/>
    <mergeCell ref="G341:G343"/>
    <mergeCell ref="F279:F280"/>
    <mergeCell ref="G279:G280"/>
    <mergeCell ref="F193:F194"/>
    <mergeCell ref="G193:G194"/>
    <mergeCell ref="K279:K280"/>
    <mergeCell ref="L279:L280"/>
    <mergeCell ref="B259:E259"/>
    <mergeCell ref="B260:E260"/>
    <mergeCell ref="B279:B280"/>
    <mergeCell ref="C279:C280"/>
    <mergeCell ref="D279:D280"/>
    <mergeCell ref="E279:E280"/>
    <mergeCell ref="B88:E88"/>
    <mergeCell ref="B2:E2"/>
    <mergeCell ref="B3:E3"/>
    <mergeCell ref="B22:B23"/>
    <mergeCell ref="C22:C23"/>
    <mergeCell ref="D22:D23"/>
    <mergeCell ref="E22:E23"/>
    <mergeCell ref="B87:E87"/>
    <mergeCell ref="F22:F23"/>
    <mergeCell ref="G22:G23"/>
    <mergeCell ref="K22:K23"/>
    <mergeCell ref="L22:L23"/>
    <mergeCell ref="K107:K108"/>
    <mergeCell ref="L107:L108"/>
    <mergeCell ref="G107:G108"/>
    <mergeCell ref="G84:G86"/>
    <mergeCell ref="K193:K194"/>
    <mergeCell ref="L193:L194"/>
    <mergeCell ref="B107:B108"/>
    <mergeCell ref="C107:C108"/>
    <mergeCell ref="D107:D108"/>
    <mergeCell ref="E107:E108"/>
    <mergeCell ref="F107:F108"/>
    <mergeCell ref="B173:E173"/>
    <mergeCell ref="B174:E174"/>
    <mergeCell ref="B193:B194"/>
    <mergeCell ref="C193:C194"/>
    <mergeCell ref="D193:D194"/>
    <mergeCell ref="E193:E194"/>
    <mergeCell ref="G170:G172"/>
  </mergeCells>
  <dataValidations count="1">
    <dataValidation allowBlank="1" showInputMessage="1" showErrorMessage="1" sqref="B142" xr:uid="{058235F4-85C4-4487-9CE7-04C26B833D5E}"/>
  </dataValidations>
  <pageMargins left="0.70866141732283472" right="0.70866141732283472" top="0.74803149606299213" bottom="0.74803149606299213" header="0.31496062992125984" footer="0.31496062992125984"/>
  <pageSetup paperSize="9" scale="51" fitToHeight="4" orientation="portrait" r:id="rId1"/>
  <rowBreaks count="3" manualBreakCount="3">
    <brk id="86" max="6" man="1"/>
    <brk id="172" max="6" man="1"/>
    <brk id="258" max="6" man="1"/>
  </rowBreaks>
  <ignoredErrors>
    <ignoredError sqref="E5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enu">
                <anchor moveWithCells="1" sizeWithCells="1">
                  <from>
                    <xdr:col>6</xdr:col>
                    <xdr:colOff>469900</xdr:colOff>
                    <xdr:row>3</xdr:row>
                    <xdr:rowOff>158750</xdr:rowOff>
                  </from>
                  <to>
                    <xdr:col>6</xdr:col>
                    <xdr:colOff>1955800</xdr:colOff>
                    <xdr:row>5</xdr:row>
                    <xdr:rowOff>31750</xdr:rowOff>
                  </to>
                </anchor>
              </controlPr>
            </control>
          </mc:Choice>
        </mc:AlternateContent>
        <mc:AlternateContent xmlns:mc="http://schemas.openxmlformats.org/markup-compatibility/2006">
          <mc:Choice Requires="x14">
            <control shapeId="19460" r:id="rId5" name="Button 4">
              <controlPr defaultSize="0" print="0" autoFill="0" autoPict="0" macro="[0]!menu">
                <anchor moveWithCells="1" sizeWithCells="1">
                  <from>
                    <xdr:col>6</xdr:col>
                    <xdr:colOff>177800</xdr:colOff>
                    <xdr:row>88</xdr:row>
                    <xdr:rowOff>177800</xdr:rowOff>
                  </from>
                  <to>
                    <xdr:col>6</xdr:col>
                    <xdr:colOff>1670050</xdr:colOff>
                    <xdr:row>90</xdr:row>
                    <xdr:rowOff>44450</xdr:rowOff>
                  </to>
                </anchor>
              </controlPr>
            </control>
          </mc:Choice>
        </mc:AlternateContent>
        <mc:AlternateContent xmlns:mc="http://schemas.openxmlformats.org/markup-compatibility/2006">
          <mc:Choice Requires="x14">
            <control shapeId="19461" r:id="rId6" name="Button 5">
              <controlPr defaultSize="0" print="0" autoFill="0" autoPict="0" macro="[0]!menu">
                <anchor moveWithCells="1" sizeWithCells="1">
                  <from>
                    <xdr:col>6</xdr:col>
                    <xdr:colOff>317500</xdr:colOff>
                    <xdr:row>175</xdr:row>
                    <xdr:rowOff>0</xdr:rowOff>
                  </from>
                  <to>
                    <xdr:col>6</xdr:col>
                    <xdr:colOff>1828800</xdr:colOff>
                    <xdr:row>176</xdr:row>
                    <xdr:rowOff>88900</xdr:rowOff>
                  </to>
                </anchor>
              </controlPr>
            </control>
          </mc:Choice>
        </mc:AlternateContent>
        <mc:AlternateContent xmlns:mc="http://schemas.openxmlformats.org/markup-compatibility/2006">
          <mc:Choice Requires="x14">
            <control shapeId="19462" r:id="rId7" name="Button 6">
              <controlPr defaultSize="0" print="0" autoFill="0" autoPict="0" macro="[0]!menu">
                <anchor moveWithCells="1" sizeWithCells="1">
                  <from>
                    <xdr:col>6</xdr:col>
                    <xdr:colOff>304800</xdr:colOff>
                    <xdr:row>260</xdr:row>
                    <xdr:rowOff>165100</xdr:rowOff>
                  </from>
                  <to>
                    <xdr:col>6</xdr:col>
                    <xdr:colOff>1797050</xdr:colOff>
                    <xdr:row>262</xdr:row>
                    <xdr:rowOff>38100</xdr:rowOff>
                  </to>
                </anchor>
              </controlPr>
            </control>
          </mc:Choice>
        </mc:AlternateContent>
        <mc:AlternateContent xmlns:mc="http://schemas.openxmlformats.org/markup-compatibility/2006">
          <mc:Choice Requires="x14">
            <control shapeId="19463" r:id="rId8" name="Button 7">
              <controlPr defaultSize="0" print="0" autoFill="0" autoPict="0" macro="[0]!IMPRIMIR2">
                <anchor moveWithCells="1" sizeWithCells="1">
                  <from>
                    <xdr:col>13</xdr:col>
                    <xdr:colOff>1098550</xdr:colOff>
                    <xdr:row>88</xdr:row>
                    <xdr:rowOff>88900</xdr:rowOff>
                  </from>
                  <to>
                    <xdr:col>15</xdr:col>
                    <xdr:colOff>755650</xdr:colOff>
                    <xdr:row>90</xdr:row>
                    <xdr:rowOff>63500</xdr:rowOff>
                  </to>
                </anchor>
              </controlPr>
            </control>
          </mc:Choice>
        </mc:AlternateContent>
        <mc:AlternateContent xmlns:mc="http://schemas.openxmlformats.org/markup-compatibility/2006">
          <mc:Choice Requires="x14">
            <control shapeId="19464" r:id="rId9" name="Button 8">
              <controlPr defaultSize="0" print="0" autoFill="0" autoPict="0" macro="[0]!IMPRIMIR">
                <anchor moveWithCells="1" sizeWithCells="1">
                  <from>
                    <xdr:col>13</xdr:col>
                    <xdr:colOff>1073150</xdr:colOff>
                    <xdr:row>3</xdr:row>
                    <xdr:rowOff>101600</xdr:rowOff>
                  </from>
                  <to>
                    <xdr:col>15</xdr:col>
                    <xdr:colOff>723900</xdr:colOff>
                    <xdr:row>5</xdr:row>
                    <xdr:rowOff>50800</xdr:rowOff>
                  </to>
                </anchor>
              </controlPr>
            </control>
          </mc:Choice>
        </mc:AlternateContent>
        <mc:AlternateContent xmlns:mc="http://schemas.openxmlformats.org/markup-compatibility/2006">
          <mc:Choice Requires="x14">
            <control shapeId="19466" r:id="rId10" name="Button 10">
              <controlPr defaultSize="0" print="0" autoFill="0" autoPict="0" macro="[0]!IMPRIMIR3">
                <anchor moveWithCells="1" sizeWithCells="1">
                  <from>
                    <xdr:col>13</xdr:col>
                    <xdr:colOff>876300</xdr:colOff>
                    <xdr:row>174</xdr:row>
                    <xdr:rowOff>190500</xdr:rowOff>
                  </from>
                  <to>
                    <xdr:col>15</xdr:col>
                    <xdr:colOff>527050</xdr:colOff>
                    <xdr:row>176</xdr:row>
                    <xdr:rowOff>146050</xdr:rowOff>
                  </to>
                </anchor>
              </controlPr>
            </control>
          </mc:Choice>
        </mc:AlternateContent>
        <mc:AlternateContent xmlns:mc="http://schemas.openxmlformats.org/markup-compatibility/2006">
          <mc:Choice Requires="x14">
            <control shapeId="19467" r:id="rId11" name="Button 11">
              <controlPr defaultSize="0" print="0" autoFill="0" autoPict="0" macro="[0]!IMPRIMIR4">
                <anchor moveWithCells="1" sizeWithCells="1">
                  <from>
                    <xdr:col>13</xdr:col>
                    <xdr:colOff>946150</xdr:colOff>
                    <xdr:row>260</xdr:row>
                    <xdr:rowOff>107950</xdr:rowOff>
                  </from>
                  <to>
                    <xdr:col>15</xdr:col>
                    <xdr:colOff>596900</xdr:colOff>
                    <xdr:row>262</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C2420E9F-EFF8-4003-87C4-0927C8196EC8}">
          <x14:formula1>
            <xm:f>CP_2026!$C$9:$C$16</xm:f>
          </x14:formula1>
          <xm:sqref>D225:D227 D229:D232</xm:sqref>
        </x14:dataValidation>
        <x14:dataValidation type="list" allowBlank="1" showInputMessage="1" showErrorMessage="1" xr:uid="{996FF662-0782-4933-83E7-F2800E77F10E}">
          <x14:formula1>
            <xm:f>CP_2026!$C$55:$C$66</xm:f>
          </x14:formula1>
          <xm:sqref>D53:D55</xm:sqref>
        </x14:dataValidation>
        <x14:dataValidation type="list" allowBlank="1" showInputMessage="1" showErrorMessage="1" xr:uid="{69432CC2-536F-4625-930B-5D7B5DB9B179}">
          <x14:formula1>
            <xm:f>CP_2026!$C$18:$C$25</xm:f>
          </x14:formula1>
          <xm:sqref>D139:D141 D143:D146</xm:sqref>
        </x14:dataValidation>
        <x14:dataValidation type="list" allowBlank="1" showInputMessage="1" showErrorMessage="1" xr:uid="{9268050C-1D92-495C-BBBF-11D3D1AB4F64}">
          <x14:formula1>
            <xm:f>CP_2026!$C$78:$C$87</xm:f>
          </x14:formula1>
          <xm:sqref>D310:D312 D314:D317</xm:sqref>
        </x14:dataValidation>
        <x14:dataValidation type="list" allowBlank="1" showInputMessage="1" showErrorMessage="1" xr:uid="{86F0B00D-852A-4AC9-B56E-BECDEFC342C2}">
          <x14:formula1>
            <xm:f>CP_2026!$C$67:$C$75</xm:f>
          </x14:formula1>
          <xm:sqref>D57:D60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77408-9AB8-4566-A761-CBF1A3B17E05}">
  <sheetPr codeName="Hoja10">
    <tabColor rgb="FFFFFF00"/>
  </sheetPr>
  <dimension ref="B2:P344"/>
  <sheetViews>
    <sheetView showGridLines="0" view="pageBreakPreview" zoomScale="70" zoomScaleNormal="85" zoomScaleSheetLayoutView="70" workbookViewId="0"/>
  </sheetViews>
  <sheetFormatPr baseColWidth="10" defaultColWidth="11.453125" defaultRowHeight="12.5"/>
  <cols>
    <col min="1" max="1" width="11.453125" style="107"/>
    <col min="2" max="2" width="17.54296875" style="107" customWidth="1"/>
    <col min="3" max="3" width="16.6328125" style="259" customWidth="1"/>
    <col min="4" max="4" width="61.54296875" style="107" customWidth="1"/>
    <col min="5" max="5" width="11.08984375" style="107" customWidth="1"/>
    <col min="6" max="6" width="20.90625" style="107" customWidth="1"/>
    <col min="7" max="7" width="31.36328125" style="107" customWidth="1"/>
    <col min="8" max="8" width="9.453125" style="107" hidden="1" customWidth="1"/>
    <col min="9" max="9" width="2.90625" style="107" hidden="1" customWidth="1"/>
    <col min="10" max="10" width="3.54296875" style="107" hidden="1" customWidth="1"/>
    <col min="11" max="11" width="6.90625" style="107" hidden="1" customWidth="1"/>
    <col min="12" max="12" width="14.54296875" style="107" hidden="1" customWidth="1"/>
    <col min="13" max="13" width="11" style="107" hidden="1" customWidth="1"/>
    <col min="14" max="14" width="16.54296875" style="107" bestFit="1" customWidth="1"/>
    <col min="15" max="15" width="9.1796875" style="383" customWidth="1"/>
    <col min="16" max="16" width="11.453125" style="107" customWidth="1"/>
    <col min="17" max="17" width="12.453125" style="107" customWidth="1"/>
    <col min="18" max="18" width="18.453125" style="107" bestFit="1" customWidth="1"/>
    <col min="19" max="16384" width="11.453125" style="107"/>
  </cols>
  <sheetData>
    <row r="2" spans="2:15" s="99" customFormat="1" ht="18">
      <c r="B2" s="592" t="s">
        <v>216</v>
      </c>
      <c r="C2" s="592"/>
      <c r="D2" s="592"/>
      <c r="E2" s="592"/>
      <c r="F2" s="98"/>
      <c r="G2" s="98"/>
      <c r="O2" s="384"/>
    </row>
    <row r="3" spans="2:15" s="99" customFormat="1" ht="18.5" thickBot="1">
      <c r="B3" s="593" t="str">
        <f>+Ingresar!F4</f>
        <v>RECUBRIMIENTO: DUPLEX ( GALVANIZADO + POLIESTER )</v>
      </c>
      <c r="C3" s="594"/>
      <c r="D3" s="594"/>
      <c r="E3" s="594"/>
      <c r="F3" s="100"/>
      <c r="G3" s="100"/>
      <c r="O3" s="384"/>
    </row>
    <row r="4" spans="2:15" s="99" customFormat="1" ht="18.5" thickTop="1">
      <c r="B4" s="101"/>
      <c r="C4" s="101"/>
      <c r="D4" s="101"/>
      <c r="E4" s="101"/>
      <c r="F4" s="102"/>
      <c r="G4" s="102"/>
      <c r="O4" s="384"/>
    </row>
    <row r="5" spans="2:15" ht="14">
      <c r="B5" s="103" t="s">
        <v>144</v>
      </c>
      <c r="C5" s="136"/>
      <c r="D5" s="104"/>
      <c r="E5" s="105" t="s">
        <v>145</v>
      </c>
      <c r="F5" s="105"/>
    </row>
    <row r="6" spans="2:15" ht="13">
      <c r="B6" s="105" t="s">
        <v>113</v>
      </c>
      <c r="C6" s="136"/>
      <c r="D6" s="104"/>
      <c r="E6" s="105" t="s">
        <v>146</v>
      </c>
      <c r="F6" s="105"/>
      <c r="G6" s="108"/>
    </row>
    <row r="7" spans="2:15" ht="15.5">
      <c r="B7" s="109" t="s">
        <v>147</v>
      </c>
      <c r="E7" s="105" t="s">
        <v>148</v>
      </c>
      <c r="F7" s="313"/>
      <c r="G7" s="110"/>
    </row>
    <row r="8" spans="2:15" ht="15.5">
      <c r="B8" s="109" t="s">
        <v>149</v>
      </c>
      <c r="E8" s="105" t="s">
        <v>174</v>
      </c>
      <c r="F8" s="106"/>
    </row>
    <row r="9" spans="2:15" ht="15.5">
      <c r="B9" s="109" t="s">
        <v>150</v>
      </c>
      <c r="F9" s="106"/>
      <c r="G9" s="111" t="s">
        <v>151</v>
      </c>
    </row>
    <row r="10" spans="2:15" ht="16" thickBot="1">
      <c r="B10" s="112"/>
      <c r="C10" s="260"/>
      <c r="D10" s="113"/>
      <c r="E10" s="112"/>
      <c r="F10" s="114"/>
      <c r="G10" s="115" t="s">
        <v>152</v>
      </c>
    </row>
    <row r="11" spans="2:15" ht="16" thickTop="1">
      <c r="D11" s="106"/>
      <c r="G11" s="116"/>
    </row>
    <row r="12" spans="2:15" ht="15.5">
      <c r="B12" s="117" t="s">
        <v>153</v>
      </c>
      <c r="D12" s="118"/>
    </row>
    <row r="13" spans="2:15" ht="15.5">
      <c r="B13" s="117"/>
      <c r="D13" s="118"/>
      <c r="F13" s="119" t="s">
        <v>154</v>
      </c>
      <c r="G13" s="107" t="str">
        <f>+Ingresar!D12</f>
        <v>sangolqui</v>
      </c>
    </row>
    <row r="14" spans="2:15">
      <c r="B14" s="120" t="str">
        <f>+Ingresar!D8</f>
        <v>XXXXXXX</v>
      </c>
      <c r="C14" s="261"/>
      <c r="D14" s="120"/>
      <c r="F14" s="121" t="s">
        <v>155</v>
      </c>
      <c r="G14" s="122">
        <f>+Ingreso!D15</f>
        <v>44845</v>
      </c>
    </row>
    <row r="15" spans="2:15">
      <c r="B15" s="120" t="str">
        <f>+Ingresar!D9</f>
        <v>XXXXXXX</v>
      </c>
      <c r="C15" s="261"/>
      <c r="D15" s="120"/>
      <c r="F15" s="119" t="s">
        <v>156</v>
      </c>
      <c r="G15" s="146" t="str">
        <f>+Ingreso!D13</f>
        <v>2222222adas</v>
      </c>
    </row>
    <row r="16" spans="2:15">
      <c r="B16" s="120" t="str">
        <f>+Ingresar!D10</f>
        <v>Quito Norte</v>
      </c>
      <c r="C16" s="261"/>
      <c r="D16" s="120"/>
      <c r="F16" s="123" t="s">
        <v>157</v>
      </c>
      <c r="G16" s="119" t="str">
        <f>+Ingresar!D14</f>
        <v>123@gmail.com</v>
      </c>
    </row>
    <row r="17" spans="2:14">
      <c r="F17" s="123"/>
      <c r="G17" s="119"/>
    </row>
    <row r="18" spans="2:14" ht="16" thickBot="1">
      <c r="B18" s="112"/>
      <c r="C18" s="260"/>
      <c r="D18" s="113"/>
      <c r="E18" s="112"/>
      <c r="F18" s="114"/>
      <c r="G18" s="115" t="s">
        <v>152</v>
      </c>
    </row>
    <row r="19" spans="2:14" ht="16" thickTop="1">
      <c r="D19" s="106"/>
    </row>
    <row r="20" spans="2:14" ht="15.5">
      <c r="B20" s="125" t="s">
        <v>158</v>
      </c>
      <c r="D20" s="125"/>
      <c r="E20" s="124"/>
      <c r="F20" s="106"/>
      <c r="G20" s="106"/>
    </row>
    <row r="21" spans="2:14" ht="15.5">
      <c r="C21" s="262"/>
      <c r="D21" s="125"/>
      <c r="E21" s="124"/>
      <c r="F21" s="126"/>
      <c r="G21" s="126"/>
    </row>
    <row r="22" spans="2:14">
      <c r="B22" s="586" t="s">
        <v>159</v>
      </c>
      <c r="C22" s="588" t="s">
        <v>160</v>
      </c>
      <c r="D22" s="588" t="s">
        <v>161</v>
      </c>
      <c r="E22" s="590"/>
      <c r="F22" s="586" t="s">
        <v>162</v>
      </c>
      <c r="G22" s="586" t="s">
        <v>163</v>
      </c>
      <c r="K22" s="585" t="s">
        <v>131</v>
      </c>
      <c r="L22" s="585" t="s">
        <v>212</v>
      </c>
    </row>
    <row r="23" spans="2:14">
      <c r="B23" s="587"/>
      <c r="C23" s="589"/>
      <c r="D23" s="589"/>
      <c r="E23" s="591"/>
      <c r="F23" s="587"/>
      <c r="G23" s="587"/>
      <c r="K23" s="585"/>
      <c r="L23" s="585"/>
    </row>
    <row r="24" spans="2:14">
      <c r="B24" s="127"/>
      <c r="C24" s="203">
        <f>+Ingreso!D22</f>
        <v>130</v>
      </c>
      <c r="D24" s="128" t="str">
        <f>+" CERCAS PRO "&amp;Ingresar!$C$4&amp;" "&amp;Ingresar!$D$27&amp;" h ="&amp;Ingresar!$D$26&amp;" Inclinación "&amp;Ingresar!$D$25*100&amp;" % "</f>
        <v xml:space="preserve"> CERCAS PRO INTRADOMICILIARIA VERDE h =2,08 Inclinación 0 % </v>
      </c>
      <c r="E24" s="129"/>
      <c r="F24" s="314"/>
      <c r="G24" s="129"/>
    </row>
    <row r="25" spans="2:14">
      <c r="B25" s="130"/>
      <c r="C25" s="263"/>
      <c r="D25" s="131" t="str">
        <f>IF(Ingresar!$D$24="s","CON 3 HILERAS DE ALAMBRE DE PUAS","SIN ALAMBRES DE PUAS")</f>
        <v>CON 3 HILERAS DE ALAMBRE DE PUAS</v>
      </c>
      <c r="E25" s="132"/>
      <c r="F25" s="315" t="s">
        <v>164</v>
      </c>
      <c r="G25" s="316"/>
    </row>
    <row r="26" spans="2:14">
      <c r="B26" s="181">
        <f>+IF(Calculo!E12="N",Calculo!J36,Calculo!S36)</f>
        <v>270876</v>
      </c>
      <c r="C26" s="317">
        <f>+Calculo!B6</f>
        <v>53</v>
      </c>
      <c r="D26" s="182" t="str">
        <f>+IF(B26=0," NO SE DISPONE ESTA OPCION",IF(Calculo!E12="N",Calculo!K36,Calculo!T36))</f>
        <v>PostePro 60x60x1.5x2.60m PLINTO/VER</v>
      </c>
      <c r="E26" s="183"/>
      <c r="F26" s="441">
        <f>+IF(Calculo!E12="N",Calculo!Q36,Calculo!Y36)</f>
        <v>30.19</v>
      </c>
      <c r="G26" s="441">
        <f t="shared" ref="G26:G31" si="0">IF(B26="","",F26*C26)</f>
        <v>1600.0700000000002</v>
      </c>
      <c r="K26" s="107">
        <f>+VLOOKUP(B26,CP_2026!$B$28:$L$55,3,0)</f>
        <v>7.3</v>
      </c>
      <c r="L26" s="107">
        <f t="shared" ref="L26:L32" si="1">+K26*C26</f>
        <v>386.9</v>
      </c>
    </row>
    <row r="27" spans="2:14">
      <c r="B27" s="181">
        <f>+Calculo!BB36</f>
        <v>189488</v>
      </c>
      <c r="C27" s="317">
        <f>+Calculo!B7</f>
        <v>53</v>
      </c>
      <c r="D27" s="178" t="str">
        <f>+Calculo!BC36</f>
        <v>ProTapa plástica 60x60mm</v>
      </c>
      <c r="E27" s="183"/>
      <c r="F27" s="441">
        <f>+Calculo!BE36</f>
        <v>1.31</v>
      </c>
      <c r="G27" s="441">
        <f t="shared" si="0"/>
        <v>69.430000000000007</v>
      </c>
      <c r="K27" s="107">
        <f>+VLOOKUP(B27,CP_2026!$B$28:$L$55,3,0)</f>
        <v>0.04</v>
      </c>
      <c r="L27" s="107">
        <f t="shared" si="1"/>
        <v>2.12</v>
      </c>
    </row>
    <row r="28" spans="2:14">
      <c r="B28" s="184">
        <f>+Calculo!AA36</f>
        <v>272173</v>
      </c>
      <c r="C28" s="317">
        <f>+Calculo!B8</f>
        <v>265</v>
      </c>
      <c r="D28" s="178" t="str">
        <f>+Calculo!AB36</f>
        <v>Fijación p/perno 1/4" Verde</v>
      </c>
      <c r="E28" s="183"/>
      <c r="F28" s="441">
        <f>+Calculo!AE36</f>
        <v>0.96</v>
      </c>
      <c r="G28" s="441">
        <f t="shared" si="0"/>
        <v>254.39999999999998</v>
      </c>
      <c r="K28" s="107">
        <f>+VLOOKUP(B28,CP_2026!$B$28:$L$55,3,0)</f>
        <v>0.03</v>
      </c>
      <c r="L28" s="107">
        <f t="shared" si="1"/>
        <v>7.9499999999999993</v>
      </c>
    </row>
    <row r="29" spans="2:14">
      <c r="B29" s="184">
        <f>+Calculo!AG36</f>
        <v>270501</v>
      </c>
      <c r="C29" s="317">
        <f>+Calculo!B9</f>
        <v>265</v>
      </c>
      <c r="D29" s="178" t="str">
        <f>+Calculo!AH36</f>
        <v>Perno coche 1/4"X2 1/2" INOX 316 CHN</v>
      </c>
      <c r="E29" s="183"/>
      <c r="F29" s="441">
        <f>+Calculo!AK36</f>
        <v>0.75</v>
      </c>
      <c r="G29" s="441">
        <f t="shared" si="0"/>
        <v>198.75</v>
      </c>
      <c r="K29" s="107">
        <f>+VLOOKUP(B29,CP_2026!$B$28:$L$55,3,0)</f>
        <v>0.02</v>
      </c>
      <c r="L29" s="107">
        <f t="shared" si="1"/>
        <v>5.3</v>
      </c>
    </row>
    <row r="30" spans="2:14">
      <c r="B30" s="181">
        <f>+Calculo!AM36</f>
        <v>270504</v>
      </c>
      <c r="C30" s="317">
        <f>+Calculo!B9</f>
        <v>265</v>
      </c>
      <c r="D30" s="186" t="str">
        <f>+Calculo!AN36</f>
        <v>Tuerca Seg.Emb.Autor.INOX 1/4 X19mm</v>
      </c>
      <c r="E30" s="183"/>
      <c r="F30" s="441">
        <f>+Calculo!AP36</f>
        <v>2.12</v>
      </c>
      <c r="G30" s="441">
        <f t="shared" si="0"/>
        <v>561.80000000000007</v>
      </c>
      <c r="K30" s="107">
        <f>+VLOOKUP(B30,CP_2026!$B$28:$L$55,3,0)</f>
        <v>0.01</v>
      </c>
      <c r="L30" s="107">
        <f t="shared" si="1"/>
        <v>2.65</v>
      </c>
    </row>
    <row r="31" spans="2:14">
      <c r="B31" s="181">
        <f>+Calculo!A36</f>
        <v>189483</v>
      </c>
      <c r="C31" s="317">
        <f>+Calculo!B15</f>
        <v>52</v>
      </c>
      <c r="D31" s="178" t="str">
        <f>+Calculo!B36</f>
        <v>CercasPro 2,08x2.50m  Verde</v>
      </c>
      <c r="E31" s="183"/>
      <c r="F31" s="441">
        <f>+Calculo!H36</f>
        <v>101.7</v>
      </c>
      <c r="G31" s="441">
        <f t="shared" si="0"/>
        <v>5288.4000000000005</v>
      </c>
      <c r="K31" s="107">
        <f>+VLOOKUP(B31,CP_2026!$B$28:$L$55,3,0)</f>
        <v>21.95</v>
      </c>
      <c r="L31" s="107">
        <f t="shared" si="1"/>
        <v>1141.3999999999999</v>
      </c>
    </row>
    <row r="32" spans="2:14">
      <c r="B32" s="184" t="str">
        <f>+IF(Calculo!E12="S",Calculo!AR36," ")</f>
        <v xml:space="preserve"> </v>
      </c>
      <c r="C32" s="317" t="str">
        <f>IF(B32=" "," ",+C26*4)</f>
        <v xml:space="preserve"> </v>
      </c>
      <c r="D32" s="186" t="str">
        <f>IF(B32=" "," ",+Calculo!AS36)</f>
        <v xml:space="preserve"> </v>
      </c>
      <c r="E32" s="183"/>
      <c r="F32" s="441" t="str">
        <f>IF(B32=" "," ",Calculo!AU36)</f>
        <v xml:space="preserve"> </v>
      </c>
      <c r="G32" s="441" t="str">
        <f>IF(B32=" "," ",IF(B32="","",F32*C32))</f>
        <v xml:space="preserve"> </v>
      </c>
      <c r="K32" s="107" t="e">
        <f>+VLOOKUP(B32,CP_2026!$B$28:$L$55,3,0)</f>
        <v>#N/A</v>
      </c>
      <c r="L32" s="107" t="e">
        <f t="shared" si="1"/>
        <v>#N/A</v>
      </c>
      <c r="N32" s="133"/>
    </row>
    <row r="33" spans="2:12">
      <c r="B33" s="181" t="str">
        <f>+IF(Calculo!P2="N",Calculo!AR36," ")</f>
        <v xml:space="preserve"> </v>
      </c>
      <c r="C33" s="317" t="str">
        <f>IF(B33=" "," ",+C27*4)</f>
        <v xml:space="preserve"> </v>
      </c>
      <c r="D33" s="186" t="str">
        <f>IF(B33=" "," ",Calculo!AS36)</f>
        <v xml:space="preserve"> </v>
      </c>
      <c r="E33" s="183"/>
      <c r="F33" s="441" t="str">
        <f>IF(B33=" "," ",Calculo!AU36)</f>
        <v xml:space="preserve"> </v>
      </c>
      <c r="G33" s="441" t="str">
        <f>IF(B33=" "," ",IF(B33="","",F33*C33))</f>
        <v xml:space="preserve"> </v>
      </c>
      <c r="K33" s="107" t="str">
        <f>IF(B33=" "," ",+VLOOKUP(B33,CP_2026!$B$28:$L$55,3,0))</f>
        <v xml:space="preserve"> </v>
      </c>
      <c r="L33" s="107" t="str">
        <f>+IF(B33=" "," ",K33*C33)</f>
        <v xml:space="preserve"> </v>
      </c>
    </row>
    <row r="34" spans="2:12">
      <c r="B34" s="181" t="str">
        <f>+IF(Calculo!E11=1.11," ",IF(Calculo!E13="S",Calculo!BL36," "))</f>
        <v xml:space="preserve"> </v>
      </c>
      <c r="C34" s="317" t="str">
        <f>IF(B34=" "," ",C26)</f>
        <v xml:space="preserve"> </v>
      </c>
      <c r="D34" s="178" t="str">
        <f>IF(B34=" "," ",Calculo!BM36)</f>
        <v xml:space="preserve"> </v>
      </c>
      <c r="E34" s="179"/>
      <c r="F34" s="441" t="str">
        <f>IF(B34=" "," ",Calculo!BO36)</f>
        <v xml:space="preserve"> </v>
      </c>
      <c r="G34" s="441" t="str">
        <f>IF(B34=" "," ",IF(B34="","",F34*C34))</f>
        <v xml:space="preserve"> </v>
      </c>
      <c r="K34" s="107" t="str">
        <f>+IF(B33=" "," ",VLOOKUP(B34,CP_2026!$B$28:$L$55,3,0))</f>
        <v xml:space="preserve"> </v>
      </c>
      <c r="L34" s="107" t="str">
        <f>IF(B33=" "," ",+K34*C34)</f>
        <v xml:space="preserve"> </v>
      </c>
    </row>
    <row r="35" spans="2:12">
      <c r="B35" s="181" t="str">
        <f>+IF(Calculo!E11=1.11," ",IF(Calculo!E13="S",Calculo!BG36," "))</f>
        <v xml:space="preserve"> </v>
      </c>
      <c r="C35" s="317" t="str">
        <f>IF(B34=" "," ",C34*3)</f>
        <v xml:space="preserve"> </v>
      </c>
      <c r="D35" s="186" t="str">
        <f>IF(B35=" "," ",+Calculo!BH36)</f>
        <v xml:space="preserve"> </v>
      </c>
      <c r="E35" s="179"/>
      <c r="F35" s="441" t="str">
        <f>IF(B35=" "," ",Calculo!BJ36)</f>
        <v xml:space="preserve"> </v>
      </c>
      <c r="G35" s="441" t="str">
        <f>IF(B35=" "," ",IF(B35="","",F35*C35))</f>
        <v xml:space="preserve"> </v>
      </c>
      <c r="K35" s="107" t="str">
        <f>+IF(B33=" "," ",VLOOKUP(B35,CP_2026!$B$28:$L$55,3,0))</f>
        <v xml:space="preserve"> </v>
      </c>
      <c r="L35" s="107" t="str">
        <f>IF(B33=" "," ",+K35*C35)</f>
        <v xml:space="preserve"> </v>
      </c>
    </row>
    <row r="36" spans="2:12">
      <c r="B36" s="181"/>
      <c r="C36" s="193"/>
      <c r="D36" s="178"/>
      <c r="E36" s="179"/>
      <c r="F36" s="441"/>
      <c r="G36" s="441"/>
    </row>
    <row r="37" spans="2:12">
      <c r="B37" s="181"/>
      <c r="C37" s="317"/>
      <c r="D37" s="180" t="str">
        <f>+IF(AND(Calculo!E11=1.11,Calculo!E13="S"),"NO APLICA OPCION CON PUAS"," ")</f>
        <v xml:space="preserve"> </v>
      </c>
      <c r="E37" s="179"/>
      <c r="F37" s="441"/>
      <c r="G37" s="441"/>
    </row>
    <row r="38" spans="2:12">
      <c r="B38" s="181"/>
      <c r="C38" s="319"/>
      <c r="D38" s="178"/>
      <c r="E38" s="179"/>
      <c r="F38" s="441"/>
      <c r="G38" s="441"/>
    </row>
    <row r="39" spans="2:12">
      <c r="B39" s="181"/>
      <c r="C39" s="317"/>
      <c r="D39" s="178"/>
      <c r="E39" s="179"/>
      <c r="F39" s="441"/>
      <c r="G39" s="441"/>
    </row>
    <row r="40" spans="2:12">
      <c r="B40" s="185"/>
      <c r="C40" s="317"/>
      <c r="D40" s="180"/>
      <c r="E40" s="179"/>
      <c r="F40" s="441"/>
      <c r="G40" s="441"/>
    </row>
    <row r="41" spans="2:12">
      <c r="B41" s="239"/>
      <c r="C41" s="320" t="s">
        <v>259</v>
      </c>
      <c r="D41" s="240"/>
      <c r="E41" s="241"/>
      <c r="F41" s="461"/>
      <c r="G41" s="462"/>
    </row>
    <row r="42" spans="2:12">
      <c r="B42" s="188">
        <f>+Calculo!BQ36</f>
        <v>189205</v>
      </c>
      <c r="C42" s="309">
        <f>+Calculo!B13</f>
        <v>6</v>
      </c>
      <c r="D42" s="187" t="str">
        <f>+Calculo!BR36</f>
        <v>SPRAY VERDE 077 SEYER</v>
      </c>
      <c r="E42" s="135"/>
      <c r="F42" s="441">
        <f>+Calculo!BT36</f>
        <v>3.63</v>
      </c>
      <c r="G42" s="441">
        <f>IF(B42="","",F42*C42)</f>
        <v>21.78</v>
      </c>
      <c r="K42" s="107">
        <f>+VLOOKUP(B42,CP_2026!$B$28:$L$55,3,0)</f>
        <v>0.56000000000000005</v>
      </c>
      <c r="L42" s="107">
        <f>+K42*C42</f>
        <v>3.3600000000000003</v>
      </c>
    </row>
    <row r="43" spans="2:12">
      <c r="B43" s="188">
        <f>+Calculo!BV36</f>
        <v>683471</v>
      </c>
      <c r="C43" s="309">
        <f>+Calculo!B14</f>
        <v>2</v>
      </c>
      <c r="D43" s="187" t="str">
        <f>+Calculo!BW36</f>
        <v>SPRAY GALV FRIO</v>
      </c>
      <c r="E43" s="135"/>
      <c r="F43" s="441">
        <f>+Calculo!BY36</f>
        <v>31.85</v>
      </c>
      <c r="G43" s="441">
        <f>IF(B43="","",F43*C43)</f>
        <v>63.7</v>
      </c>
      <c r="K43" s="107">
        <f>+VLOOKUP(B43,CP_2026!$B$28:$L$55,3,0)</f>
        <v>0.4</v>
      </c>
      <c r="L43" s="107">
        <f>+K43*C43</f>
        <v>0.8</v>
      </c>
    </row>
    <row r="44" spans="2:12">
      <c r="B44" s="189" t="str">
        <f>+IF(Calculo!E11=1.11," ",IF(Calculo!E13="S",Calculo!CJ36," "))</f>
        <v xml:space="preserve"> </v>
      </c>
      <c r="C44" s="463" t="str">
        <f>IF(B44=" "," ",Calculo!V31)</f>
        <v xml:space="preserve"> </v>
      </c>
      <c r="D44" s="218" t="str">
        <f>IF(B44=" "," ",Calculo!CK36)</f>
        <v xml:space="preserve"> </v>
      </c>
      <c r="E44" s="135"/>
      <c r="F44" s="441" t="str">
        <f>IF(B44=" "," ",Calculo!CL36)</f>
        <v xml:space="preserve"> </v>
      </c>
      <c r="G44" s="442" t="str">
        <f>IF(B44=" "," ",IF(B44="","",F44*C44))</f>
        <v xml:space="preserve"> </v>
      </c>
      <c r="K44" s="107" t="e">
        <f>+VLOOKUP(B44,CP_2026!$B$28:$L$155,3,0)</f>
        <v>#N/A</v>
      </c>
      <c r="L44" s="107" t="e">
        <f>+K44*C44</f>
        <v>#N/A</v>
      </c>
    </row>
    <row r="45" spans="2:12">
      <c r="B45" s="189"/>
      <c r="C45" s="238"/>
      <c r="D45" s="218"/>
      <c r="E45" s="135"/>
      <c r="F45" s="441"/>
      <c r="G45" s="442"/>
    </row>
    <row r="46" spans="2:12">
      <c r="B46" s="189"/>
      <c r="C46" s="238"/>
      <c r="D46" s="218"/>
      <c r="E46" s="135"/>
      <c r="F46" s="441"/>
      <c r="G46" s="442"/>
    </row>
    <row r="47" spans="2:12">
      <c r="B47" s="189"/>
      <c r="C47" s="238"/>
      <c r="D47" s="218"/>
      <c r="E47" s="135"/>
      <c r="F47" s="441"/>
      <c r="G47" s="442"/>
    </row>
    <row r="48" spans="2:12">
      <c r="B48" s="189"/>
      <c r="C48" s="238"/>
      <c r="D48" s="218"/>
      <c r="E48" s="135"/>
      <c r="F48" s="441"/>
      <c r="G48" s="442"/>
    </row>
    <row r="49" spans="2:16">
      <c r="B49" s="189"/>
      <c r="C49" s="238"/>
      <c r="D49" s="218"/>
      <c r="E49" s="135"/>
      <c r="F49" s="441"/>
      <c r="G49" s="442"/>
    </row>
    <row r="50" spans="2:16">
      <c r="B50" s="189"/>
      <c r="C50" s="238"/>
      <c r="D50" s="218"/>
      <c r="E50" s="135"/>
      <c r="F50" s="441"/>
      <c r="G50" s="442"/>
    </row>
    <row r="51" spans="2:16">
      <c r="B51" s="189"/>
      <c r="C51" s="238"/>
      <c r="D51" s="218"/>
      <c r="E51" s="135"/>
      <c r="F51" s="441"/>
      <c r="G51" s="442"/>
    </row>
    <row r="52" spans="2:16">
      <c r="B52" s="239"/>
      <c r="C52" s="320" t="s">
        <v>261</v>
      </c>
      <c r="D52" s="240"/>
      <c r="E52" s="241"/>
      <c r="F52" s="461"/>
      <c r="G52" s="462"/>
      <c r="H52" s="107" t="s">
        <v>11</v>
      </c>
    </row>
    <row r="53" spans="2:16">
      <c r="B53" s="189" t="str">
        <f>++IF(O53="En blanco"," ",IF(Ingresar!$D$29="N"," ",+VLOOKUP(E53,CP_2026!$A$55:$L$66,2,TRUE)))</f>
        <v xml:space="preserve"> </v>
      </c>
      <c r="C53" s="257"/>
      <c r="D53" s="306"/>
      <c r="E53" s="479" t="e">
        <f>+MATCH(D53,CP_2026!$C$55:$C$66,0)</f>
        <v>#N/A</v>
      </c>
      <c r="F53" s="441" t="str">
        <f>IF(B53=" "," ",IF(Calculo!$E$10=Calculo!$I$3,+ROUND(H53*(1-Calculo!$J$3),2),+IF(Calculo!$E$10=Calculo!$I$4,+ROUND(H53*(1-Calculo!$J$4),2),+IF(Calculo!$E$10=Calculo!$I$5,+ROUND(H53*(1-Calculo!$J$5),2),+IF(Calculo!$E$10=Calculo!$I$6,+ROUND(H53*(1-Calculo!$J$6),2),+IF(Calculo!$E$10=Calculo!$I$7,+ROUND(H53*(1-Calculo!$J$7),2),+IF(Calculo!$E$10=Calculo!$I$8,+ROUND(H53*(1-Calculo!$J$8),2),H53)))))))</f>
        <v xml:space="preserve"> </v>
      </c>
      <c r="G53" s="442" t="str">
        <f>IF(B53=" "," ",IF(B53="","",F53*C53))</f>
        <v xml:space="preserve"> </v>
      </c>
      <c r="H53" s="107" t="str">
        <f>++IF(O53="En blanco"," ",IF(Ingresar!$D$29="N"," ",+VLOOKUP(E53,CP_2026!$A$55:$L$66,12,TRUE)))</f>
        <v xml:space="preserve"> </v>
      </c>
      <c r="K53" s="107" t="e">
        <f>+VLOOKUP(B53,CP_2026!$B$57:$L$77,3,0)</f>
        <v>#N/A</v>
      </c>
      <c r="L53" s="107" t="e">
        <f>+K53*C53</f>
        <v>#N/A</v>
      </c>
      <c r="O53" s="476" t="str">
        <f>IF(ISBLANK(C53),"En blanco","No está en blanco")</f>
        <v>En blanco</v>
      </c>
      <c r="P53" s="477"/>
    </row>
    <row r="54" spans="2:16">
      <c r="B54" s="189" t="str">
        <f>++IF(O54="En blanco"," ",IF(Ingresar!$D$29="N"," ",+VLOOKUP(E54,CP_2026!$A$55:$L$66,2,TRUE)))</f>
        <v xml:space="preserve"> </v>
      </c>
      <c r="C54" s="257"/>
      <c r="D54" s="306"/>
      <c r="E54" s="479" t="e">
        <f>+MATCH(D54,CP_2026!$C$55:$C$66,0)</f>
        <v>#N/A</v>
      </c>
      <c r="F54" s="441" t="str">
        <f>IF(B54=" "," ",IF(Calculo!$E$10=Calculo!$I$3,+ROUND(H54*(1-Calculo!$J$3),2),+IF(Calculo!$E$10=Calculo!$I$4,+ROUND(H54*(1-Calculo!$J$4),2),+IF(Calculo!$E$10=Calculo!$I$5,+ROUND(H54*(1-Calculo!$J$5),2),+IF(Calculo!$E$10=Calculo!$I$6,+ROUND(H54*(1-Calculo!$J$6),2),+IF(Calculo!$E$10=Calculo!$I$7,+ROUND(H54*(1-Calculo!$J$7),2),+IF(Calculo!$E$10=Calculo!$I$8,+ROUND(H54*(1-Calculo!$J$8),2),H54)))))))</f>
        <v xml:space="preserve"> </v>
      </c>
      <c r="G54" s="442" t="str">
        <f>IF(B54=" "," ",IF(B54="","",F54*C54))</f>
        <v xml:space="preserve"> </v>
      </c>
      <c r="H54" s="107" t="str">
        <f>++IF(O54="En blanco"," ",IF(Ingresar!$D$29="N"," ",+VLOOKUP(E54,CP_2026!$A$55:$L$66,12,TRUE)))</f>
        <v xml:space="preserve"> </v>
      </c>
      <c r="K54" s="107" t="e">
        <f>+VLOOKUP(B54,CP_2026!$B$57:$L$77,3,0)</f>
        <v>#N/A</v>
      </c>
      <c r="L54" s="107" t="e">
        <f>+K54*C54</f>
        <v>#N/A</v>
      </c>
      <c r="O54" s="476" t="str">
        <f t="shared" ref="O54:O60" si="2">IF(ISBLANK(C54),"En blanco","No está en blanco")</f>
        <v>En blanco</v>
      </c>
      <c r="P54" s="477"/>
    </row>
    <row r="55" spans="2:16">
      <c r="B55" s="189" t="str">
        <f>++IF(O55="En blanco"," ",IF(Ingresar!$D$29="N"," ",+VLOOKUP(E55,CP_2026!$A$55:$L$66,2,TRUE)))</f>
        <v xml:space="preserve"> </v>
      </c>
      <c r="C55" s="257"/>
      <c r="D55" s="306"/>
      <c r="E55" s="479" t="e">
        <f>+MATCH(D55,CP_2026!$C$55:$C$66,0)</f>
        <v>#N/A</v>
      </c>
      <c r="F55" s="441" t="str">
        <f>IF(B55=" "," ",IF(Calculo!$E$10=Calculo!$I$3,+ROUND(H55*(1-Calculo!$J$3),2),+IF(Calculo!$E$10=Calculo!$I$4,+ROUND(H55*(1-Calculo!$J$4),2),+IF(Calculo!$E$10=Calculo!$I$5,+ROUND(H55*(1-Calculo!$J$5),2),+IF(Calculo!$E$10=Calculo!$I$6,+ROUND(H55*(1-Calculo!$J$6),2),+IF(Calculo!$E$10=Calculo!$I$7,+ROUND(H55*(1-Calculo!$J$7),2),+IF(Calculo!$E$10=Calculo!$I$8,+ROUND(H55*(1-Calculo!$J$8),2),H55)))))))</f>
        <v xml:space="preserve"> </v>
      </c>
      <c r="G55" s="442" t="str">
        <f>IF(B55=" "," ",IF(B55="","",F55*C55))</f>
        <v xml:space="preserve"> </v>
      </c>
      <c r="H55" s="107" t="str">
        <f>++IF(O55="En blanco"," ",IF(Ingresar!$D$29="N"," ",+VLOOKUP(E55,CP_2026!$A$55:$L$66,12,TRUE)))</f>
        <v xml:space="preserve"> </v>
      </c>
      <c r="K55" s="107" t="e">
        <f>+VLOOKUP(B55,CP_2026!$B$57:$L$77,3,0)</f>
        <v>#N/A</v>
      </c>
      <c r="L55" s="107" t="e">
        <f>+K55*C55</f>
        <v>#N/A</v>
      </c>
      <c r="O55" s="476" t="str">
        <f t="shared" si="2"/>
        <v>En blanco</v>
      </c>
      <c r="P55" s="477"/>
    </row>
    <row r="56" spans="2:16">
      <c r="B56" s="239"/>
      <c r="C56" s="320"/>
      <c r="D56" s="241"/>
      <c r="E56" s="480"/>
      <c r="F56" s="461"/>
      <c r="G56" s="462"/>
      <c r="O56" s="478"/>
      <c r="P56" s="477"/>
    </row>
    <row r="57" spans="2:16">
      <c r="B57" s="269" t="str">
        <f>++IF(O57="En blanco"," ",IF(Ingresar!$D$29="N"," ",+VLOOKUP(E57,CP_2026!$A$67:$L$75,2,TRUE)))</f>
        <v xml:space="preserve"> </v>
      </c>
      <c r="C57" s="270"/>
      <c r="D57" s="307"/>
      <c r="E57" s="481" t="e">
        <f>+MATCH(D57,CP_2026!$C$67:$C$75,0)</f>
        <v>#N/A</v>
      </c>
      <c r="F57" s="456" t="str">
        <f>IF(B57=" "," ",IF(Calculo!$E$10=Calculo!$I$3,+ROUND(H57*(1-Calculo!$J$3),2),+IF(Calculo!$E$10=Calculo!$I$4,+ROUND(H57*(1-Calculo!$J$4),2),+IF(Calculo!$E$10=Calculo!$I$5,+ROUND(H57*(1-Calculo!$J$5),2),+IF(Calculo!$E$10=Calculo!$I$6,+ROUND(H57*(1-Calculo!$J$6),2),+IF(Calculo!$E$10=Calculo!$I$7,+ROUND(H57*(1-Calculo!$J$7),2),+IF(Calculo!$E$10=Calculo!$I$8,+ROUND(H57*(1-Calculo!$J$8),2),H57)))))))</f>
        <v xml:space="preserve"> </v>
      </c>
      <c r="G57" s="457" t="str">
        <f>IF(B57=" "," ",F57*C57)</f>
        <v xml:space="preserve"> </v>
      </c>
      <c r="H57" s="107" t="str">
        <f>++IF(O57="En blanco"," ",IF(Ingresar!$D$29="N"," ",+VLOOKUP(E57,CP_2026!$A$55:$L$66,12,TRUE)))</f>
        <v xml:space="preserve"> </v>
      </c>
      <c r="K57" s="107" t="e">
        <f>+VLOOKUP(B57,CP_2026!$B$57:$L$77,3,0)</f>
        <v>#N/A</v>
      </c>
      <c r="L57" s="107" t="e">
        <f>+K57*C57</f>
        <v>#N/A</v>
      </c>
      <c r="O57" s="476" t="str">
        <f t="shared" si="2"/>
        <v>En blanco</v>
      </c>
      <c r="P57" s="477"/>
    </row>
    <row r="58" spans="2:16">
      <c r="B58" s="189" t="str">
        <f>++IF(O58="En blanco"," ",IF(Ingresar!$D$29="N"," ",+VLOOKUP(E58,CP_2026!$A$67:$L$75,2,TRUE)))</f>
        <v xml:space="preserve"> </v>
      </c>
      <c r="C58" s="257"/>
      <c r="D58" s="306"/>
      <c r="E58" s="482" t="e">
        <f>+MATCH(D58,CP_2026!$C$67:$C$75,0)</f>
        <v>#N/A</v>
      </c>
      <c r="F58" s="441" t="str">
        <f>IF(B58=" "," ",IF(Calculo!$E$10=Calculo!$I$3,+ROUND(H58*(1-Calculo!$J$3),2),+IF(Calculo!$E$10=Calculo!$I$4,+ROUND(H58*(1-Calculo!$J$4),2),+IF(Calculo!$E$10=Calculo!$I$5,+ROUND(H58*(1-Calculo!$J$5),2),+IF(Calculo!$E$10=Calculo!$I$6,+ROUND(H58*(1-Calculo!$J$6),2),+IF(Calculo!$E$10=Calculo!$I$7,+ROUND(H58*(1-Calculo!$J$7),2),+IF(Calculo!$E$10=Calculo!$I$8,+ROUND(H58*(1-Calculo!$J$8),2),H58)))))))</f>
        <v xml:space="preserve"> </v>
      </c>
      <c r="G58" s="442" t="str">
        <f>IF(B58=" "," ",F58*C58)</f>
        <v xml:space="preserve"> </v>
      </c>
      <c r="H58" s="107" t="str">
        <f>++IF(O58="En blanco"," ",IF(Ingresar!$D$29="N"," ",+VLOOKUP(E58,CP_2026!$A$55:$L$66,12,TRUE)))</f>
        <v xml:space="preserve"> </v>
      </c>
      <c r="K58" s="107" t="e">
        <f>+VLOOKUP(B58,CP_2026!$B$57:$L$77,3,0)</f>
        <v>#N/A</v>
      </c>
      <c r="L58" s="107" t="e">
        <f>+K58*C58</f>
        <v>#N/A</v>
      </c>
      <c r="O58" s="476" t="str">
        <f t="shared" si="2"/>
        <v>En blanco</v>
      </c>
      <c r="P58" s="477"/>
    </row>
    <row r="59" spans="2:16">
      <c r="B59" s="189" t="str">
        <f>++IF(O59="En blanco"," ",IF(Ingresar!$D$29="N"," ",+VLOOKUP(E59,CP_2026!$A$67:$L$75,2,TRUE)))</f>
        <v xml:space="preserve"> </v>
      </c>
      <c r="C59" s="257"/>
      <c r="D59" s="306"/>
      <c r="E59" s="482" t="e">
        <f>+MATCH(D59,CP_2026!$C$67:$C$75,0)</f>
        <v>#N/A</v>
      </c>
      <c r="F59" s="441" t="str">
        <f>IF(B59=" "," ",IF(Calculo!$E$10=Calculo!$I$3,+ROUND(H59*(1-Calculo!$J$3),2),+IF(Calculo!$E$10=Calculo!$I$4,+ROUND(H59*(1-Calculo!$J$4),2),+IF(Calculo!$E$10=Calculo!$I$5,+ROUND(H59*(1-Calculo!$J$5),2),+IF(Calculo!$E$10=Calculo!$I$6,+ROUND(H59*(1-Calculo!$J$6),2),+IF(Calculo!$E$10=Calculo!$I$7,+ROUND(H59*(1-Calculo!$J$7),2),+IF(Calculo!$E$10=Calculo!$I$8,+ROUND(H59*(1-Calculo!$J$8),2),H59)))))))</f>
        <v xml:space="preserve"> </v>
      </c>
      <c r="G59" s="442" t="str">
        <f>IF(B59=" "," ",F59*C59)</f>
        <v xml:space="preserve"> </v>
      </c>
      <c r="H59" s="107" t="str">
        <f>++IF(O59="En blanco"," ",IF(Ingresar!$D$29="N"," ",+VLOOKUP(E59,CP_2026!$A$55:$L$66,12,TRUE)))</f>
        <v xml:space="preserve"> </v>
      </c>
      <c r="K59" s="107" t="e">
        <f>+VLOOKUP(B59,CP_2026!$B$57:$L$77,3,0)</f>
        <v>#N/A</v>
      </c>
      <c r="L59" s="107" t="e">
        <f>+K59*C59</f>
        <v>#N/A</v>
      </c>
      <c r="O59" s="476" t="str">
        <f t="shared" si="2"/>
        <v>En blanco</v>
      </c>
      <c r="P59" s="477"/>
    </row>
    <row r="60" spans="2:16">
      <c r="B60" s="271" t="str">
        <f>++IF(O60="En blanco"," ",IF(Ingresar!$D$29="N"," ",+VLOOKUP(E60,CP_2026!$A$67:$L$75,2,TRUE)))</f>
        <v xml:space="preserve"> </v>
      </c>
      <c r="C60" s="258"/>
      <c r="D60" s="308"/>
      <c r="E60" s="483" t="e">
        <f>+MATCH(D60,CP_2026!$C$67:$C$75,0)</f>
        <v>#N/A</v>
      </c>
      <c r="F60" s="458" t="str">
        <f>IF(B60=" "," ",IF(Calculo!$E$10=Calculo!$I$3,+ROUND(H60*(1-Calculo!$J$3),2),+IF(Calculo!$E$10=Calculo!$I$4,+ROUND(H60*(1-Calculo!$J$4),2),+IF(Calculo!$E$10=Calculo!$I$5,+ROUND(H60*(1-Calculo!$J$5),2),+IF(Calculo!$E$10=Calculo!$I$6,+ROUND(H60*(1-Calculo!$J$6),2),+IF(Calculo!$E$10=Calculo!$I$7,+ROUND(H60*(1-Calculo!$J$7),2),+IF(Calculo!$E$10=Calculo!$I$8,+ROUND(H60*(1-Calculo!$J$8),2),H60)))))))</f>
        <v xml:space="preserve"> </v>
      </c>
      <c r="G60" s="459" t="str">
        <f>IF(B60=" "," ",F60*C60)</f>
        <v xml:space="preserve"> </v>
      </c>
      <c r="H60" s="107" t="str">
        <f>++IF(O60="En blanco"," ",IF(Ingresar!$D$29="N"," ",+VLOOKUP(E60,CP_2026!$A$55:$L$66,12,TRUE)))</f>
        <v xml:space="preserve"> </v>
      </c>
      <c r="K60" s="107" t="e">
        <f>+VLOOKUP(B60,CP_2026!$B$57:$L$77,3,0)</f>
        <v>#N/A</v>
      </c>
      <c r="L60" s="107" t="e">
        <f>+K60*C60</f>
        <v>#N/A</v>
      </c>
      <c r="O60" s="476" t="str">
        <f t="shared" si="2"/>
        <v>En blanco</v>
      </c>
      <c r="P60" s="477"/>
    </row>
    <row r="61" spans="2:16">
      <c r="B61" s="134" t="s">
        <v>165</v>
      </c>
      <c r="C61" s="259" t="str">
        <f>+L61&amp;" kg "</f>
        <v xml:space="preserve">1550.48 kg </v>
      </c>
      <c r="D61" s="484"/>
      <c r="E61" s="485"/>
      <c r="F61" s="449"/>
      <c r="G61" s="451"/>
      <c r="L61" s="107">
        <f>+SUMIF(L26:L60,"&gt;0")</f>
        <v>1550.4799999999996</v>
      </c>
      <c r="O61" s="478"/>
      <c r="P61" s="477"/>
    </row>
    <row r="62" spans="2:16" ht="13">
      <c r="C62" s="264"/>
      <c r="D62" s="448"/>
      <c r="E62" s="448" t="s">
        <v>166</v>
      </c>
      <c r="F62" s="449"/>
      <c r="G62" s="491">
        <f>SUM(G26:G61)</f>
        <v>8058.33</v>
      </c>
    </row>
    <row r="63" spans="2:16" ht="13">
      <c r="C63" s="264"/>
      <c r="D63" s="448"/>
      <c r="E63" s="448"/>
      <c r="F63" s="449"/>
      <c r="G63" s="491"/>
    </row>
    <row r="64" spans="2:16" ht="13">
      <c r="C64" s="264"/>
      <c r="D64" s="450"/>
      <c r="E64" s="448"/>
      <c r="F64" s="449"/>
      <c r="G64" s="491"/>
    </row>
    <row r="65" spans="2:7">
      <c r="C65" s="264"/>
      <c r="D65" s="450"/>
      <c r="E65" s="446" t="s">
        <v>167</v>
      </c>
      <c r="F65" s="446"/>
      <c r="G65" s="492">
        <v>0</v>
      </c>
    </row>
    <row r="66" spans="2:7">
      <c r="C66" s="264"/>
      <c r="D66" s="448"/>
      <c r="E66" s="493" t="s">
        <v>168</v>
      </c>
      <c r="F66" s="451"/>
      <c r="G66" s="492">
        <f>+G62-G65</f>
        <v>8058.33</v>
      </c>
    </row>
    <row r="67" spans="2:7">
      <c r="C67" s="264"/>
      <c r="D67" s="448"/>
      <c r="E67" s="493"/>
      <c r="F67" s="451"/>
      <c r="G67" s="492"/>
    </row>
    <row r="68" spans="2:7" ht="13">
      <c r="C68" s="264"/>
      <c r="D68" s="448"/>
      <c r="E68" s="448" t="s">
        <v>388</v>
      </c>
      <c r="F68" s="494">
        <f>+Calculo!J11</f>
        <v>0.15</v>
      </c>
      <c r="G68" s="492">
        <f>G66*F68</f>
        <v>1208.7494999999999</v>
      </c>
    </row>
    <row r="69" spans="2:7" ht="13">
      <c r="C69" s="264"/>
      <c r="D69" s="448"/>
      <c r="E69" s="495"/>
      <c r="F69" s="496"/>
      <c r="G69" s="497"/>
    </row>
    <row r="70" spans="2:7" ht="13">
      <c r="C70" s="264"/>
      <c r="D70" s="448"/>
      <c r="E70" s="496" t="s">
        <v>170</v>
      </c>
      <c r="F70" s="496" t="str">
        <f>+Calculo!E10</f>
        <v>Franquicia</v>
      </c>
      <c r="G70" s="498">
        <f>G66+G68</f>
        <v>9267.0794999999998</v>
      </c>
    </row>
    <row r="71" spans="2:7" ht="18">
      <c r="C71" s="118"/>
      <c r="D71" s="447"/>
      <c r="E71" s="499"/>
      <c r="F71" s="499"/>
      <c r="G71" s="500"/>
    </row>
    <row r="72" spans="2:7" ht="15.5">
      <c r="C72" s="118"/>
      <c r="D72" s="447"/>
      <c r="E72" s="383"/>
      <c r="F72" s="383"/>
      <c r="G72" s="177"/>
    </row>
    <row r="73" spans="2:7" ht="15.5">
      <c r="C73" s="118"/>
      <c r="D73" s="141"/>
      <c r="E73" s="340"/>
      <c r="F73" s="142"/>
      <c r="G73" s="341"/>
    </row>
    <row r="74" spans="2:7" ht="15.5">
      <c r="B74" s="342" t="s">
        <v>171</v>
      </c>
      <c r="C74" s="183"/>
      <c r="D74" s="177"/>
      <c r="E74" s="190"/>
      <c r="F74" s="191"/>
      <c r="G74" s="138"/>
    </row>
    <row r="75" spans="2:7" ht="15.5">
      <c r="C75" s="183"/>
      <c r="D75" s="177"/>
      <c r="E75" s="190"/>
      <c r="F75" s="190"/>
    </row>
    <row r="76" spans="2:7" ht="15.5">
      <c r="B76" s="109" t="s">
        <v>172</v>
      </c>
      <c r="D76" s="109"/>
      <c r="E76" s="190"/>
      <c r="F76" s="191"/>
      <c r="G76" s="138"/>
    </row>
    <row r="77" spans="2:7" ht="15.5">
      <c r="B77" s="177"/>
      <c r="C77" s="343"/>
      <c r="D77" s="177"/>
      <c r="E77" s="190"/>
      <c r="F77" s="191"/>
      <c r="G77" s="138"/>
    </row>
    <row r="78" spans="2:7" ht="15.5">
      <c r="B78" s="177"/>
      <c r="C78" s="343"/>
      <c r="D78" s="177"/>
      <c r="E78" s="190"/>
      <c r="F78" s="191"/>
      <c r="G78" s="138"/>
    </row>
    <row r="79" spans="2:7" ht="15.5">
      <c r="C79" s="265"/>
      <c r="D79" s="104"/>
      <c r="E79" s="125"/>
      <c r="F79" s="143"/>
      <c r="G79" s="104"/>
    </row>
    <row r="80" spans="2:7" ht="15.5">
      <c r="B80" s="125" t="s">
        <v>173</v>
      </c>
      <c r="C80" s="118"/>
      <c r="E80" s="125"/>
      <c r="F80" s="143"/>
      <c r="G80" s="104"/>
    </row>
    <row r="81" spans="2:15" ht="15.5">
      <c r="E81" s="144"/>
      <c r="F81" s="145"/>
      <c r="G81" s="138"/>
    </row>
    <row r="82" spans="2:15" ht="15.5">
      <c r="E82" s="144"/>
      <c r="F82" s="145"/>
      <c r="G82" s="138"/>
    </row>
    <row r="83" spans="2:15" ht="15.5">
      <c r="B83" s="107" t="str">
        <f>+Ingresar!D35</f>
        <v>Gutierrez Diego</v>
      </c>
      <c r="C83" s="266"/>
      <c r="E83" s="144"/>
      <c r="F83" s="145"/>
    </row>
    <row r="84" spans="2:15" ht="15.5">
      <c r="B84" s="107" t="str">
        <f>+VLOOKUP(B83,'DATOS PARTIDA'!I3:K47,2,FALSE)</f>
        <v>diego.gutierrez@bekaert.com</v>
      </c>
      <c r="C84" s="266"/>
      <c r="D84" s="133" t="str">
        <f>+VLOOKUP(B83,'DATOS PARTIDA'!I3:K47,3,FALSE)</f>
        <v>+593 993363971</v>
      </c>
      <c r="E84" s="144"/>
      <c r="F84" s="145"/>
      <c r="G84" s="595" t="str">
        <f>+CP_2026!A5</f>
        <v>LISTA DE PRECIOS 
VIGENTE  AGOSTO DE 2026</v>
      </c>
    </row>
    <row r="85" spans="2:15" ht="15.5">
      <c r="C85" s="266"/>
      <c r="E85" s="144"/>
      <c r="F85" s="145"/>
      <c r="G85" s="595"/>
    </row>
    <row r="86" spans="2:15" ht="15.5">
      <c r="B86" s="144" t="s">
        <v>215</v>
      </c>
      <c r="E86" s="144"/>
      <c r="F86" s="344"/>
      <c r="G86" s="595"/>
    </row>
    <row r="87" spans="2:15" s="99" customFormat="1" ht="18" hidden="1">
      <c r="B87" s="592" t="s">
        <v>243</v>
      </c>
      <c r="C87" s="592"/>
      <c r="D87" s="592"/>
      <c r="E87" s="592"/>
      <c r="F87" s="98"/>
      <c r="G87" s="98"/>
      <c r="O87" s="384"/>
    </row>
    <row r="88" spans="2:15" s="99" customFormat="1" ht="18.5" hidden="1" thickBot="1">
      <c r="B88" s="593" t="str">
        <f>+Ingresar!F4</f>
        <v>RECUBRIMIENTO: DUPLEX ( GALVANIZADO + POLIESTER )</v>
      </c>
      <c r="C88" s="594"/>
      <c r="D88" s="594"/>
      <c r="E88" s="594"/>
      <c r="F88" s="100"/>
      <c r="G88" s="100"/>
      <c r="O88" s="384"/>
    </row>
    <row r="89" spans="2:15" s="99" customFormat="1" ht="18.5" hidden="1" thickTop="1">
      <c r="B89" s="101"/>
      <c r="C89" s="101"/>
      <c r="D89" s="101"/>
      <c r="E89" s="101"/>
      <c r="F89" s="102"/>
      <c r="G89" s="102"/>
      <c r="O89" s="384"/>
    </row>
    <row r="90" spans="2:15" ht="14" hidden="1">
      <c r="B90" s="103" t="s">
        <v>144</v>
      </c>
      <c r="C90" s="136"/>
      <c r="D90" s="104"/>
      <c r="E90" s="105" t="s">
        <v>145</v>
      </c>
      <c r="F90" s="105"/>
    </row>
    <row r="91" spans="2:15" ht="13" hidden="1">
      <c r="B91" s="105" t="s">
        <v>113</v>
      </c>
      <c r="C91" s="136"/>
      <c r="D91" s="104"/>
      <c r="E91" s="105" t="s">
        <v>146</v>
      </c>
      <c r="F91" s="105"/>
      <c r="G91" s="108"/>
    </row>
    <row r="92" spans="2:15" ht="15.5" hidden="1">
      <c r="B92" s="109" t="s">
        <v>147</v>
      </c>
      <c r="E92" s="105" t="s">
        <v>148</v>
      </c>
      <c r="F92" s="313"/>
      <c r="G92" s="110"/>
    </row>
    <row r="93" spans="2:15" ht="15.5" hidden="1">
      <c r="B93" s="109" t="s">
        <v>149</v>
      </c>
      <c r="E93" s="105" t="s">
        <v>174</v>
      </c>
      <c r="F93" s="106"/>
    </row>
    <row r="94" spans="2:15" ht="15.5" hidden="1">
      <c r="B94" s="109" t="s">
        <v>150</v>
      </c>
      <c r="F94" s="106"/>
      <c r="G94" s="111" t="s">
        <v>151</v>
      </c>
    </row>
    <row r="95" spans="2:15" ht="16" hidden="1" thickBot="1">
      <c r="B95" s="112"/>
      <c r="C95" s="260"/>
      <c r="D95" s="113"/>
      <c r="E95" s="112"/>
      <c r="F95" s="114"/>
      <c r="G95" s="115" t="s">
        <v>152</v>
      </c>
    </row>
    <row r="96" spans="2:15" ht="16" hidden="1" thickTop="1">
      <c r="D96" s="106"/>
      <c r="G96" s="116"/>
    </row>
    <row r="97" spans="2:12" ht="15.5" hidden="1">
      <c r="B97" s="117" t="s">
        <v>153</v>
      </c>
      <c r="D97" s="118"/>
    </row>
    <row r="98" spans="2:12" ht="15.5" hidden="1">
      <c r="B98" s="117"/>
      <c r="D98" s="118"/>
      <c r="F98" s="119" t="s">
        <v>154</v>
      </c>
      <c r="G98" s="107" t="str">
        <f>+Ingresar!D12</f>
        <v>sangolqui</v>
      </c>
    </row>
    <row r="99" spans="2:12" hidden="1">
      <c r="B99" s="120" t="str">
        <f>+Ingresar!D8</f>
        <v>XXXXXXX</v>
      </c>
      <c r="C99" s="261"/>
      <c r="D99" s="120"/>
      <c r="F99" s="121" t="s">
        <v>155</v>
      </c>
      <c r="G99" s="122">
        <f>+Ingreso!D15</f>
        <v>44845</v>
      </c>
    </row>
    <row r="100" spans="2:12" hidden="1">
      <c r="B100" s="120" t="str">
        <f>+Ingresar!D9</f>
        <v>XXXXXXX</v>
      </c>
      <c r="C100" s="261"/>
      <c r="D100" s="120"/>
      <c r="F100" s="119" t="s">
        <v>156</v>
      </c>
      <c r="G100" s="146" t="str">
        <f>+Ingreso!D13</f>
        <v>2222222adas</v>
      </c>
    </row>
    <row r="101" spans="2:12" hidden="1">
      <c r="B101" s="120" t="str">
        <f>+Ingresar!D10</f>
        <v>Quito Norte</v>
      </c>
      <c r="C101" s="261"/>
      <c r="D101" s="120"/>
      <c r="F101" s="123" t="s">
        <v>157</v>
      </c>
      <c r="G101" s="119" t="str">
        <f>+Ingresar!D14</f>
        <v>123@gmail.com</v>
      </c>
    </row>
    <row r="102" spans="2:12" hidden="1">
      <c r="F102" s="123"/>
      <c r="G102" s="119"/>
    </row>
    <row r="103" spans="2:12" ht="16" hidden="1" thickBot="1">
      <c r="B103" s="112"/>
      <c r="C103" s="260"/>
      <c r="D103" s="113"/>
      <c r="E103" s="112"/>
      <c r="F103" s="114"/>
      <c r="G103" s="115" t="s">
        <v>152</v>
      </c>
    </row>
    <row r="104" spans="2:12" ht="16" hidden="1" thickTop="1">
      <c r="D104" s="106"/>
    </row>
    <row r="105" spans="2:12" ht="15.5" hidden="1">
      <c r="B105" s="125" t="s">
        <v>158</v>
      </c>
      <c r="D105" s="125"/>
      <c r="E105" s="124"/>
      <c r="F105" s="106"/>
      <c r="G105" s="106"/>
    </row>
    <row r="106" spans="2:12" ht="15.5" hidden="1">
      <c r="C106" s="262"/>
      <c r="D106" s="125"/>
      <c r="E106" s="124"/>
      <c r="F106" s="126"/>
      <c r="G106" s="126"/>
    </row>
    <row r="107" spans="2:12" hidden="1">
      <c r="B107" s="586" t="s">
        <v>159</v>
      </c>
      <c r="C107" s="588" t="s">
        <v>160</v>
      </c>
      <c r="D107" s="588" t="s">
        <v>161</v>
      </c>
      <c r="E107" s="590"/>
      <c r="F107" s="586" t="s">
        <v>162</v>
      </c>
      <c r="G107" s="586" t="s">
        <v>163</v>
      </c>
      <c r="K107" s="585" t="s">
        <v>131</v>
      </c>
      <c r="L107" s="585" t="s">
        <v>212</v>
      </c>
    </row>
    <row r="108" spans="2:12" hidden="1">
      <c r="B108" s="587"/>
      <c r="C108" s="589"/>
      <c r="D108" s="589"/>
      <c r="E108" s="591"/>
      <c r="F108" s="587"/>
      <c r="G108" s="587"/>
      <c r="K108" s="585"/>
      <c r="L108" s="585"/>
    </row>
    <row r="109" spans="2:12" hidden="1">
      <c r="B109" s="127"/>
      <c r="C109" s="203">
        <f>+Calculo!B51</f>
        <v>130</v>
      </c>
      <c r="D109" s="128" t="str">
        <f>+" CERCAS PRO "&amp;Ingresar!$C$4&amp;" "&amp;Ingresar!$D$27&amp;" h ="&amp;Ingresar!$D$26&amp;" Inclinación "&amp;Ingresar!$D$25*100&amp;" % "</f>
        <v xml:space="preserve"> CERCAS PRO INTRADOMICILIARIA VERDE h =2,08 Inclinación 0 % </v>
      </c>
      <c r="E109" s="129"/>
      <c r="F109" s="452"/>
      <c r="G109" s="453"/>
    </row>
    <row r="110" spans="2:12" hidden="1">
      <c r="B110" s="130"/>
      <c r="C110" s="263"/>
      <c r="D110" s="131" t="str">
        <f>IF(Ingresar!$D$24="s","CON 3 HILERAS DE ALAMBRE DE PUAS","SIN ALAMBRES DE PUAS")</f>
        <v>CON 3 HILERAS DE ALAMBRE DE PUAS</v>
      </c>
      <c r="E110" s="132"/>
      <c r="F110" s="454" t="s">
        <v>164</v>
      </c>
      <c r="G110" s="455"/>
    </row>
    <row r="111" spans="2:12" hidden="1">
      <c r="B111" s="184">
        <f>+Calculo!J66</f>
        <v>667702</v>
      </c>
      <c r="C111" s="193">
        <f>+IF(B111=" "," ",Calculo!B53)</f>
        <v>53</v>
      </c>
      <c r="D111" s="227" t="str">
        <f>+IF(Ingreso!D23="N",Calculo!K66,"NO SE DISPONE OPICON CON PLACA")</f>
        <v>PostePro Urb 60x40x1,25x2.60m  Plinto/Verde</v>
      </c>
      <c r="E111" s="183"/>
      <c r="F111" s="441">
        <f>+IF(B111=" "," ",Calculo!Q66)</f>
        <v>31.93</v>
      </c>
      <c r="G111" s="441">
        <f t="shared" ref="G111:G116" si="3">IF(B111="","",F111*C111)</f>
        <v>1692.29</v>
      </c>
      <c r="K111" s="107">
        <f>+VLOOKUP(B111,CP_2026!$B$18:$L$55,3,0)</f>
        <v>5.0439999999999996</v>
      </c>
      <c r="L111" s="107">
        <f>+K111*C111</f>
        <v>267.33199999999999</v>
      </c>
    </row>
    <row r="112" spans="2:12" hidden="1">
      <c r="B112" s="184">
        <f>+Calculo!AR66</f>
        <v>667705</v>
      </c>
      <c r="C112" s="193">
        <f>+IF(B112=" "," ",Calculo!B54)</f>
        <v>53</v>
      </c>
      <c r="D112" s="178" t="str">
        <f>+IF(Ingresar!D23="N",Calculo!AS66,"")</f>
        <v xml:space="preserve">ProTapa Plastica Gris 60x40mm </v>
      </c>
      <c r="E112" s="183"/>
      <c r="F112" s="441">
        <f>+IF(B112=" "," ",Calculo!AU66)</f>
        <v>0.69</v>
      </c>
      <c r="G112" s="441">
        <f t="shared" si="3"/>
        <v>36.57</v>
      </c>
      <c r="K112" s="107">
        <f>+VLOOKUP(B112,CP_2026!$B$18:$L$55,3,0)</f>
        <v>2.8000000000000001E-2</v>
      </c>
      <c r="L112" s="107">
        <f t="shared" ref="L112:L117" si="4">+K112*C112</f>
        <v>1.484</v>
      </c>
    </row>
    <row r="113" spans="2:14" hidden="1">
      <c r="B113" s="184">
        <f>+Calculo!AA66</f>
        <v>667706</v>
      </c>
      <c r="C113" s="193">
        <f>+IF(B113=" "," ",Calculo!B55)</f>
        <v>265</v>
      </c>
      <c r="D113" s="178" t="str">
        <f>+IF(Ingresar!D23="N",Calculo!AB66,"")</f>
        <v>Fijacion Urb 37x29x7x2,5 P1/4 Verde</v>
      </c>
      <c r="E113" s="183"/>
      <c r="F113" s="441">
        <f>+IF(B113=" "," ",Calculo!AE66)</f>
        <v>0.91</v>
      </c>
      <c r="G113" s="441">
        <f t="shared" si="3"/>
        <v>241.15</v>
      </c>
      <c r="K113" s="107">
        <f>+VLOOKUP(B113,CP_2026!$B$18:$L$55,3,0)</f>
        <v>2.9000000000000001E-2</v>
      </c>
      <c r="L113" s="107">
        <f t="shared" si="4"/>
        <v>7.6850000000000005</v>
      </c>
    </row>
    <row r="114" spans="2:14" hidden="1">
      <c r="B114" s="184">
        <f>+Calculo!AG66</f>
        <v>270502</v>
      </c>
      <c r="C114" s="193">
        <f>+IF(B114=" "," ",Calculo!B56)</f>
        <v>265</v>
      </c>
      <c r="D114" s="178" t="str">
        <f>+IF(Ingresar!D23="N",Calculo!AH66,"")</f>
        <v xml:space="preserve">Perno coche 1/4"X3" INOX 316 CHN </v>
      </c>
      <c r="E114" s="183"/>
      <c r="F114" s="441">
        <f>+IF(B114=" "," ",Calculo!AK66)</f>
        <v>0.79</v>
      </c>
      <c r="G114" s="441">
        <f t="shared" si="3"/>
        <v>209.35000000000002</v>
      </c>
      <c r="K114" s="107">
        <f>+VLOOKUP(B114,CP_2026!$B$18:$L$55,3,0)</f>
        <v>0.03</v>
      </c>
      <c r="L114" s="107">
        <f t="shared" si="4"/>
        <v>7.9499999999999993</v>
      </c>
    </row>
    <row r="115" spans="2:14" hidden="1">
      <c r="B115" s="184">
        <f>+Calculo!AM66</f>
        <v>270504</v>
      </c>
      <c r="C115" s="193">
        <f>+IF(B115=" "," ",Calculo!B56)</f>
        <v>265</v>
      </c>
      <c r="D115" s="186" t="str">
        <f>+IF(Ingreso!D23="N",Calculo!AN66," ")</f>
        <v>Tuerca Seg.Emb.Autor.INOX 1/4 X19mm</v>
      </c>
      <c r="E115" s="183"/>
      <c r="F115" s="441">
        <f>+IF(B115=" "," ",Calculo!AP66)</f>
        <v>2.12</v>
      </c>
      <c r="G115" s="441">
        <f t="shared" si="3"/>
        <v>561.80000000000007</v>
      </c>
      <c r="K115" s="107">
        <f>+VLOOKUP(B115,CP_2026!$B$18:$L$55,3,0)</f>
        <v>0.01</v>
      </c>
      <c r="L115" s="107">
        <f t="shared" si="4"/>
        <v>2.65</v>
      </c>
    </row>
    <row r="116" spans="2:14" hidden="1">
      <c r="B116" s="181">
        <f>+Calculo!A66</f>
        <v>667701</v>
      </c>
      <c r="C116" s="193">
        <f>+IF(B116=" "," ",Calculo!B62)</f>
        <v>52</v>
      </c>
      <c r="D116" s="186" t="str">
        <f>+IF(Ingreso!D23="N",Calculo!B66," ")</f>
        <v>CercasPro Urb 2.08x2.50m Verde</v>
      </c>
      <c r="E116" s="183"/>
      <c r="F116" s="441">
        <f>+IF(B116=" "," ",Calculo!H66)</f>
        <v>76.739999999999995</v>
      </c>
      <c r="G116" s="441">
        <f t="shared" si="3"/>
        <v>3990.4799999999996</v>
      </c>
      <c r="K116" s="107">
        <f>+VLOOKUP(B116,CP_2026!$B$18:$L$55,3,0)</f>
        <v>15.426</v>
      </c>
      <c r="L116" s="107">
        <f t="shared" si="4"/>
        <v>802.15200000000004</v>
      </c>
    </row>
    <row r="117" spans="2:14" hidden="1">
      <c r="B117" s="184" t="str">
        <f>+IF(Calculo!E13="S",+Calculo!BL66," ")</f>
        <v xml:space="preserve"> </v>
      </c>
      <c r="C117" s="317" t="str">
        <f>IF(B117=" "," ",+C111)</f>
        <v xml:space="preserve"> </v>
      </c>
      <c r="D117" s="186" t="str">
        <f>+IF(Ingreso!D23="N",IF(B117=" "," ",Calculo!BM66)," ")</f>
        <v xml:space="preserve"> </v>
      </c>
      <c r="E117" s="183"/>
      <c r="F117" s="441" t="str">
        <f>IF(B117=" "," ",Calculo!BO66)</f>
        <v xml:space="preserve"> </v>
      </c>
      <c r="G117" s="441" t="str">
        <f>IF(B117=" "," ",IF(B117="","",F117*C117))</f>
        <v xml:space="preserve"> </v>
      </c>
      <c r="K117" s="107" t="e">
        <f>+VLOOKUP(B117,CP_2026!$B$18:$L$55,3,0)</f>
        <v>#N/A</v>
      </c>
      <c r="L117" s="107" t="e">
        <f t="shared" si="4"/>
        <v>#N/A</v>
      </c>
      <c r="N117" s="133"/>
    </row>
    <row r="118" spans="2:14" hidden="1">
      <c r="B118" s="181" t="str">
        <f>+IF(Calculo!P94="N",Calculo!AR138," ")</f>
        <v xml:space="preserve"> </v>
      </c>
      <c r="C118" s="317" t="str">
        <f>IF(B118=" "," ",+C112*4)</f>
        <v xml:space="preserve"> </v>
      </c>
      <c r="D118" s="186" t="str">
        <f>IF(B118=" "," ",Calculo!AS138)</f>
        <v xml:space="preserve"> </v>
      </c>
      <c r="E118" s="183"/>
      <c r="F118" s="441" t="str">
        <f>IF(B118=" "," ",Calculo!AU138)</f>
        <v xml:space="preserve"> </v>
      </c>
      <c r="G118" s="441" t="str">
        <f>IF(B118=" "," ",IF(B118="","",F118*C118))</f>
        <v xml:space="preserve"> </v>
      </c>
      <c r="K118" s="107" t="str">
        <f>IF(B118=" "," ",+VLOOKUP(B118,CP_2026!$B$28:$L$55,3,0))</f>
        <v xml:space="preserve"> </v>
      </c>
      <c r="L118" s="107" t="str">
        <f>+IF(B118=" "," ",K118*C118)</f>
        <v xml:space="preserve"> </v>
      </c>
    </row>
    <row r="119" spans="2:14" hidden="1">
      <c r="B119" s="181" t="str">
        <f>+IF(Calculo!E121="S",Calculo!BL138," ")</f>
        <v xml:space="preserve"> </v>
      </c>
      <c r="C119" s="193" t="str">
        <f>IF(B119=" "," ",C111)</f>
        <v xml:space="preserve"> </v>
      </c>
      <c r="D119" s="178" t="str">
        <f>IF(B119=" "," ",Calculo!BM138)</f>
        <v xml:space="preserve"> </v>
      </c>
      <c r="E119" s="179"/>
      <c r="F119" s="441" t="str">
        <f>IF(B119=" "," ",Calculo!BO138)</f>
        <v xml:space="preserve"> </v>
      </c>
      <c r="G119" s="441" t="str">
        <f>IF(B119=" "," ",IF(B119="","",F119*C119))</f>
        <v xml:space="preserve"> </v>
      </c>
      <c r="K119" s="107" t="str">
        <f>+IF(B118=" "," ",VLOOKUP(B119,CP_2026!$B$28:$L$55,3,0))</f>
        <v xml:space="preserve"> </v>
      </c>
      <c r="L119" s="107" t="str">
        <f>IF(B118=" "," ",+K119*C119)</f>
        <v xml:space="preserve"> </v>
      </c>
    </row>
    <row r="120" spans="2:14" hidden="1">
      <c r="B120" s="181" t="str">
        <f>+IF(Calculo!E121="S",Calculo!BG138," ")</f>
        <v xml:space="preserve"> </v>
      </c>
      <c r="C120" s="193" t="str">
        <f>IF(B119=" "," ",C119*3)</f>
        <v xml:space="preserve"> </v>
      </c>
      <c r="D120" s="186" t="str">
        <f>IF(B120=" "," ",+Calculo!BH138)</f>
        <v xml:space="preserve"> </v>
      </c>
      <c r="E120" s="179"/>
      <c r="F120" s="441" t="str">
        <f>IF(B120=" "," ",Calculo!BJ138)</f>
        <v xml:space="preserve"> </v>
      </c>
      <c r="G120" s="441" t="str">
        <f>IF(B120=" "," ",IF(B120="","",F120*C120))</f>
        <v xml:space="preserve"> </v>
      </c>
      <c r="K120" s="107" t="str">
        <f>+IF(B118=" "," ",VLOOKUP(B120,CP_2026!$B$28:$L$55,3,0))</f>
        <v xml:space="preserve"> </v>
      </c>
      <c r="L120" s="107" t="str">
        <f>IF(B118=" "," ",+K120*C120)</f>
        <v xml:space="preserve"> </v>
      </c>
    </row>
    <row r="121" spans="2:14" hidden="1">
      <c r="B121" s="181"/>
      <c r="C121" s="193"/>
      <c r="D121" s="178"/>
      <c r="E121" s="179"/>
      <c r="F121" s="441"/>
      <c r="G121" s="441"/>
    </row>
    <row r="122" spans="2:14" hidden="1">
      <c r="B122" s="181"/>
      <c r="C122" s="317"/>
      <c r="D122" s="180"/>
      <c r="E122" s="179"/>
      <c r="F122" s="441"/>
      <c r="G122" s="441"/>
    </row>
    <row r="123" spans="2:14" hidden="1">
      <c r="B123" s="181"/>
      <c r="C123" s="317"/>
      <c r="D123" s="180"/>
      <c r="E123" s="179"/>
      <c r="F123" s="441"/>
      <c r="G123" s="441"/>
    </row>
    <row r="124" spans="2:14" hidden="1">
      <c r="B124" s="181"/>
      <c r="C124" s="317"/>
      <c r="D124" s="180"/>
      <c r="E124" s="179"/>
      <c r="F124" s="441"/>
      <c r="G124" s="441"/>
    </row>
    <row r="125" spans="2:14" hidden="1">
      <c r="B125" s="181"/>
      <c r="C125" s="319"/>
      <c r="D125" s="178"/>
      <c r="E125" s="179"/>
      <c r="F125" s="441"/>
      <c r="G125" s="441"/>
    </row>
    <row r="126" spans="2:14" hidden="1">
      <c r="B126" s="181"/>
      <c r="C126" s="317"/>
      <c r="D126" s="178"/>
      <c r="E126" s="179"/>
      <c r="F126" s="441"/>
      <c r="G126" s="441"/>
    </row>
    <row r="127" spans="2:14" hidden="1">
      <c r="B127" s="185"/>
      <c r="C127" s="317"/>
      <c r="D127" s="180"/>
      <c r="E127" s="179"/>
      <c r="F127" s="441"/>
      <c r="G127" s="441"/>
    </row>
    <row r="128" spans="2:14" hidden="1">
      <c r="B128" s="239"/>
      <c r="C128" s="320" t="s">
        <v>259</v>
      </c>
      <c r="D128" s="240"/>
      <c r="E128" s="241"/>
      <c r="F128" s="461"/>
      <c r="G128" s="462"/>
    </row>
    <row r="129" spans="2:15" hidden="1">
      <c r="B129" s="188">
        <f>+Calculo!BB66</f>
        <v>189205</v>
      </c>
      <c r="C129" s="311">
        <f>+Calculo!B60</f>
        <v>6</v>
      </c>
      <c r="D129" s="187" t="str">
        <f>+Calculo!BC66</f>
        <v>SPRAY VERDE 077 SEYER</v>
      </c>
      <c r="E129" s="135"/>
      <c r="F129" s="441">
        <f>+Calculo!BE66</f>
        <v>3.63</v>
      </c>
      <c r="G129" s="441">
        <f>IF(B129="","",F129*C129)</f>
        <v>21.78</v>
      </c>
      <c r="K129" s="107">
        <f>+VLOOKUP(B129,CP_2026!$B$28:$L$55,3,0)</f>
        <v>0.56000000000000005</v>
      </c>
      <c r="L129" s="107">
        <f>+K129*C129</f>
        <v>3.3600000000000003</v>
      </c>
    </row>
    <row r="130" spans="2:15" hidden="1">
      <c r="B130" s="188">
        <f>+Calculo!BG66</f>
        <v>683471</v>
      </c>
      <c r="C130" s="311">
        <f>+Calculo!B61</f>
        <v>2</v>
      </c>
      <c r="D130" s="187" t="str">
        <f>+Calculo!BH66</f>
        <v>SPRAY GALV FRIO</v>
      </c>
      <c r="E130" s="135"/>
      <c r="F130" s="441">
        <f>+Calculo!BJ66</f>
        <v>31.85</v>
      </c>
      <c r="G130" s="441">
        <f>IF(B130="","",F130*C130)</f>
        <v>63.7</v>
      </c>
      <c r="K130" s="107">
        <f>+VLOOKUP(B130,CP_2026!$B$28:$L$55,3,0)</f>
        <v>0.4</v>
      </c>
      <c r="L130" s="107">
        <f>+K130*C130</f>
        <v>0.8</v>
      </c>
    </row>
    <row r="131" spans="2:15" hidden="1">
      <c r="B131" s="189"/>
      <c r="C131" s="238"/>
      <c r="D131" s="218"/>
      <c r="E131" s="135"/>
      <c r="F131" s="441"/>
      <c r="G131" s="442"/>
    </row>
    <row r="132" spans="2:15" hidden="1">
      <c r="B132" s="189"/>
      <c r="C132" s="238"/>
      <c r="D132" s="218"/>
      <c r="E132" s="135"/>
      <c r="F132" s="441"/>
      <c r="G132" s="442"/>
    </row>
    <row r="133" spans="2:15" hidden="1">
      <c r="B133" s="189"/>
      <c r="C133" s="238"/>
      <c r="D133" s="218"/>
      <c r="E133" s="135"/>
      <c r="F133" s="441"/>
      <c r="G133" s="442"/>
    </row>
    <row r="134" spans="2:15" hidden="1">
      <c r="B134" s="189"/>
      <c r="C134" s="238"/>
      <c r="D134" s="218"/>
      <c r="E134" s="135"/>
      <c r="F134" s="441"/>
      <c r="G134" s="442"/>
    </row>
    <row r="135" spans="2:15" hidden="1">
      <c r="B135" s="189"/>
      <c r="C135" s="238"/>
      <c r="D135" s="218"/>
      <c r="E135" s="135"/>
      <c r="F135" s="441"/>
      <c r="G135" s="442"/>
    </row>
    <row r="136" spans="2:15" hidden="1">
      <c r="B136" s="189"/>
      <c r="C136" s="238"/>
      <c r="D136" s="218"/>
      <c r="E136" s="135"/>
      <c r="F136" s="441"/>
      <c r="G136" s="442"/>
    </row>
    <row r="137" spans="2:15" hidden="1">
      <c r="B137" s="189"/>
      <c r="C137" s="238"/>
      <c r="D137" s="218"/>
      <c r="E137" s="135"/>
      <c r="F137" s="441"/>
      <c r="G137" s="442"/>
    </row>
    <row r="138" spans="2:15" hidden="1">
      <c r="B138" s="239"/>
      <c r="C138" s="320" t="s">
        <v>385</v>
      </c>
      <c r="D138" s="240"/>
      <c r="E138" s="241"/>
      <c r="F138" s="461"/>
      <c r="G138" s="462"/>
    </row>
    <row r="139" spans="2:15" hidden="1">
      <c r="B139" s="189" t="str">
        <f>++IF(O139="En blanco"," ",IF(Ingresar!$D$29="N"," ",+VLOOKUP(E139,CP_2026!$A$18:$L$25,2,TRUE)))</f>
        <v xml:space="preserve"> </v>
      </c>
      <c r="C139" s="257"/>
      <c r="D139" s="306"/>
      <c r="E139" s="443" t="e">
        <f>+MATCH(D139,CP_2026!$C$18:$C$25,0)</f>
        <v>#N/A</v>
      </c>
      <c r="F139" s="441" t="str">
        <f>IF(B139=" "," ",IF(Calculo!$E$10=Calculo!$I$3,+ROUND(H139*(1-Calculo!$J$3),2),+IF(Calculo!$E$10=Calculo!$I$4,+ROUND(H139*(1-Calculo!$J$4),2),+IF(Calculo!$E$10=Calculo!$I$5,+ROUND(H139*(1-Calculo!$J$5),2),+IF(Calculo!$E$10=Calculo!$I$6,+ROUND(H139*(1-Calculo!$J$6),2),+IF(Calculo!$E$10=Calculo!$I$7,+ROUND(H139*(1-Calculo!$J$7),2),+IF(Calculo!$E$10=Calculo!$I$8,+ROUND(H139*(1-Calculo!$J$8),2),H139)))))))</f>
        <v xml:space="preserve"> </v>
      </c>
      <c r="G139" s="442" t="str">
        <f>IF(B139=" "," ",IF(B139="","",F139*C139))</f>
        <v xml:space="preserve"> </v>
      </c>
      <c r="H139" s="107" t="e">
        <f>IF(B139="","",+VLOOKUP(B139,CP_2026!$B$18:$L$25,11,FALSE))</f>
        <v>#N/A</v>
      </c>
      <c r="K139" s="107" t="e">
        <f>+VLOOKUP(B139,CP_2026!$B$57:$L$77,3,0)</f>
        <v>#N/A</v>
      </c>
      <c r="L139" s="107" t="e">
        <f>+K139*C139</f>
        <v>#N/A</v>
      </c>
      <c r="O139" s="468" t="str">
        <f>IF(ISBLANK(C139),"En blanco","No está en blanco")</f>
        <v>En blanco</v>
      </c>
    </row>
    <row r="140" spans="2:15" hidden="1">
      <c r="B140" s="189" t="str">
        <f>++IF(O140="En blanco"," ",IF(Ingresar!$D$29="N"," ",+VLOOKUP(E140,CP_2026!$A$18:$L$25,2,TRUE)))</f>
        <v xml:space="preserve"> </v>
      </c>
      <c r="C140" s="257"/>
      <c r="D140" s="306"/>
      <c r="E140" s="443" t="e">
        <f>+MATCH(D140,CP_2026!$C$18:$C$25,0)</f>
        <v>#N/A</v>
      </c>
      <c r="F140" s="441" t="str">
        <f>IF(B140=" "," ",IF(Calculo!$E$10=Calculo!$I$3,+ROUND(H140*(1-Calculo!$J$3),2),+IF(Calculo!$E$10=Calculo!$I$4,+ROUND(H140*(1-Calculo!$J$4),2),+IF(Calculo!$E$10=Calculo!$I$5,+ROUND(H140*(1-Calculo!$J$5),2),+IF(Calculo!$E$10=Calculo!$I$6,+ROUND(H140*(1-Calculo!$J$6),2),+IF(Calculo!$E$10=Calculo!$I$7,+ROUND(H140*(1-Calculo!$J$7),2),+IF(Calculo!$E$10=Calculo!$I$8,+ROUND(H140*(1-Calculo!$J$8),2),H140)))))))</f>
        <v xml:space="preserve"> </v>
      </c>
      <c r="G140" s="442" t="str">
        <f>IF(B140=" "," ",IF(B140="","",F140*C140))</f>
        <v xml:space="preserve"> </v>
      </c>
      <c r="H140" s="107" t="e">
        <f>IF(B140="","",+VLOOKUP(B140,CP_2026!$B$18:$L$25,11,FALSE))</f>
        <v>#N/A</v>
      </c>
      <c r="K140" s="107" t="e">
        <f>+VLOOKUP(B140,CP_2026!$B$57:$L$77,3,0)</f>
        <v>#N/A</v>
      </c>
      <c r="L140" s="107" t="e">
        <f>+K140*C140</f>
        <v>#N/A</v>
      </c>
      <c r="O140" s="468" t="str">
        <f t="shared" ref="O140:O146" si="5">IF(ISBLANK(C140),"En blanco","No está en blanco")</f>
        <v>En blanco</v>
      </c>
    </row>
    <row r="141" spans="2:15" hidden="1">
      <c r="B141" s="189" t="str">
        <f>++IF(O141="En blanco"," ",IF(Ingresar!$D$29="N"," ",+VLOOKUP(E141,CP_2026!$A$18:$L$25,2,TRUE)))</f>
        <v xml:space="preserve"> </v>
      </c>
      <c r="C141" s="257"/>
      <c r="D141" s="306"/>
      <c r="E141" s="443" t="e">
        <f>+MATCH(D141,CP_2026!$C$18:$C$25,0)</f>
        <v>#N/A</v>
      </c>
      <c r="F141" s="441" t="str">
        <f>IF(B141=" "," ",IF(Calculo!$E$10=Calculo!$I$3,+ROUND(H141*(1-Calculo!$J$3),2),+IF(Calculo!$E$10=Calculo!$I$4,+ROUND(H141*(1-Calculo!$J$4),2),+IF(Calculo!$E$10=Calculo!$I$5,+ROUND(H141*(1-Calculo!$J$5),2),+IF(Calculo!$E$10=Calculo!$I$6,+ROUND(H141*(1-Calculo!$J$6),2),+IF(Calculo!$E$10=Calculo!$I$7,+ROUND(H141*(1-Calculo!$J$7),2),+IF(Calculo!$E$10=Calculo!$I$8,+ROUND(H141*(1-Calculo!$J$8),2),H141)))))))</f>
        <v xml:space="preserve"> </v>
      </c>
      <c r="G141" s="442" t="str">
        <f>IF(B141=" "," ",IF(B141="","",F141*C141))</f>
        <v xml:space="preserve"> </v>
      </c>
      <c r="H141" s="107" t="e">
        <f>IF(B141="","",+VLOOKUP(B141,CP_2026!$B$18:$L$25,11,FALSE))</f>
        <v>#N/A</v>
      </c>
      <c r="K141" s="107" t="e">
        <f>+VLOOKUP(B141,CP_2026!$B$57:$L$77,3,0)</f>
        <v>#N/A</v>
      </c>
      <c r="L141" s="107" t="e">
        <f>+K141*C141</f>
        <v>#N/A</v>
      </c>
      <c r="O141" s="468" t="str">
        <f t="shared" si="5"/>
        <v>En blanco</v>
      </c>
    </row>
    <row r="142" spans="2:15" hidden="1">
      <c r="B142" s="239"/>
      <c r="C142" s="320"/>
      <c r="D142" s="241"/>
      <c r="E142" s="289"/>
      <c r="F142" s="461"/>
      <c r="G142" s="462"/>
      <c r="O142" s="468"/>
    </row>
    <row r="143" spans="2:15" hidden="1">
      <c r="B143" s="269" t="str">
        <f>++IF(O143="En blanco"," ",IF(Ingresar!$D$29="N"," ",+VLOOKUP(E143,CP_2026!$A$18:$L$25,2,TRUE)))</f>
        <v xml:space="preserve"> </v>
      </c>
      <c r="C143" s="270"/>
      <c r="D143" s="307"/>
      <c r="E143" s="444" t="e">
        <f>+MATCH(D143,CP_2026!$C$18:$C$25,0)</f>
        <v>#N/A</v>
      </c>
      <c r="F143" s="456" t="str">
        <f>IF(B143=" "," ",IF(Calculo!$E$10=Calculo!$I$3,+ROUND(H143*(1-Calculo!$J$3),2),+IF(Calculo!$E$10=Calculo!$I$4,+ROUND(H143*(1-Calculo!$J$4),2),+IF(Calculo!$E$10=Calculo!$I$5,+ROUND(H143*(1-Calculo!$J$5),2),+IF(Calculo!$E$10=Calculo!$I$6,+ROUND(H143*(1-Calculo!$J$6),2),+IF(Calculo!$E$10=Calculo!$I$7,+ROUND(H143*(1-Calculo!$J$7),2),+IF(Calculo!$E$10=Calculo!$I$8,+ROUND(H143*(1-Calculo!$J$8),2),H143)))))))</f>
        <v xml:space="preserve"> </v>
      </c>
      <c r="G143" s="457" t="str">
        <f>IF(B143=" "," ",IF(B143="","",F143*C143))</f>
        <v xml:space="preserve"> </v>
      </c>
      <c r="H143" s="107" t="e">
        <f>IF(B143="","",+VLOOKUP(B143,CP_2026!$B$18:$L$25,11,FALSE))</f>
        <v>#N/A</v>
      </c>
      <c r="K143" s="107" t="e">
        <f>+VLOOKUP(B143,CP_2026!$B$57:$L$77,3,0)</f>
        <v>#N/A</v>
      </c>
      <c r="L143" s="107" t="e">
        <f>+K143*C143</f>
        <v>#N/A</v>
      </c>
      <c r="O143" s="468" t="str">
        <f t="shared" si="5"/>
        <v>En blanco</v>
      </c>
    </row>
    <row r="144" spans="2:15" hidden="1">
      <c r="B144" s="189" t="str">
        <f>++IF(O144="En blanco"," ",IF(Ingresar!$D$29="N"," ",+VLOOKUP(E144,CP_2026!$A$18:$L$25,2,TRUE)))</f>
        <v xml:space="preserve"> </v>
      </c>
      <c r="C144" s="257"/>
      <c r="D144" s="306"/>
      <c r="E144" s="443" t="e">
        <f>+MATCH(D144,CP_2026!$C$18:$C$25,0)</f>
        <v>#N/A</v>
      </c>
      <c r="F144" s="441" t="str">
        <f>IF(B144=" "," ",IF(Calculo!$E$10=Calculo!$I$3,+ROUND(H144*(1-Calculo!$J$3),2),+IF(Calculo!$E$10=Calculo!$I$4,+ROUND(H144*(1-Calculo!$J$4),2),+IF(Calculo!$E$10=Calculo!$I$5,+ROUND(H144*(1-Calculo!$J$5),2),+IF(Calculo!$E$10=Calculo!$I$6,+ROUND(H144*(1-Calculo!$J$6),2),+IF(Calculo!$E$10=Calculo!$I$7,+ROUND(H144*(1-Calculo!$J$7),2),+IF(Calculo!$E$10=Calculo!$I$8,+ROUND(H144*(1-Calculo!$J$8),2),H144)))))))</f>
        <v xml:space="preserve"> </v>
      </c>
      <c r="G144" s="442" t="str">
        <f>IF(B144=" "," ",IF(B144="","",F144*C144))</f>
        <v xml:space="preserve"> </v>
      </c>
      <c r="H144" s="107" t="e">
        <f>IF(B144="","",+VLOOKUP(B144,CP_2026!$B$18:$L$25,11,FALSE))</f>
        <v>#N/A</v>
      </c>
      <c r="K144" s="107" t="e">
        <f>+VLOOKUP(B144,CP_2026!$B$57:$L$77,3,0)</f>
        <v>#N/A</v>
      </c>
      <c r="L144" s="107" t="e">
        <f>+K144*C144</f>
        <v>#N/A</v>
      </c>
      <c r="O144" s="468" t="str">
        <f t="shared" si="5"/>
        <v>En blanco</v>
      </c>
    </row>
    <row r="145" spans="2:15" hidden="1">
      <c r="B145" s="189" t="str">
        <f>++IF(O145="En blanco"," ",IF(Ingresar!$D$29="N"," ",+VLOOKUP(E145,CP_2026!$A$18:$L$25,2,TRUE)))</f>
        <v xml:space="preserve"> </v>
      </c>
      <c r="C145" s="257"/>
      <c r="D145" s="306"/>
      <c r="E145" s="443" t="e">
        <f>+MATCH(D145,CP_2026!$C$18:$C$25,0)</f>
        <v>#N/A</v>
      </c>
      <c r="F145" s="441" t="str">
        <f>IF(B145=" "," ",IF(Calculo!$E$10=Calculo!$I$3,+ROUND(H145*(1-Calculo!$J$3),2),+IF(Calculo!$E$10=Calculo!$I$4,+ROUND(H145*(1-Calculo!$J$4),2),+IF(Calculo!$E$10=Calculo!$I$5,+ROUND(H145*(1-Calculo!$J$5),2),+IF(Calculo!$E$10=Calculo!$I$6,+ROUND(H145*(1-Calculo!$J$6),2),+IF(Calculo!$E$10=Calculo!$I$7,+ROUND(H145*(1-Calculo!$J$7),2),+IF(Calculo!$E$10=Calculo!$I$8,+ROUND(H145*(1-Calculo!$J$8),2),H145)))))))</f>
        <v xml:space="preserve"> </v>
      </c>
      <c r="G145" s="442" t="str">
        <f>IF(B145=" "," ",IF(B145="","",F145*C145))</f>
        <v xml:space="preserve"> </v>
      </c>
      <c r="H145" s="107" t="e">
        <f>IF(B145="","",+VLOOKUP(B145,CP_2026!$B$18:$L$25,11,FALSE))</f>
        <v>#N/A</v>
      </c>
      <c r="K145" s="107" t="e">
        <f>+VLOOKUP(B145,CP_2026!$B$57:$L$77,3,0)</f>
        <v>#N/A</v>
      </c>
      <c r="L145" s="107" t="e">
        <f>+K145*C145</f>
        <v>#N/A</v>
      </c>
      <c r="O145" s="468" t="str">
        <f t="shared" si="5"/>
        <v>En blanco</v>
      </c>
    </row>
    <row r="146" spans="2:15" hidden="1">
      <c r="B146" s="271" t="str">
        <f>++IF(O146="En blanco"," ",IF(Ingresar!$D$29="N"," ",+VLOOKUP(E146,CP_2026!$A$18:$L$25,2,TRUE)))</f>
        <v xml:space="preserve"> </v>
      </c>
      <c r="C146" s="258"/>
      <c r="D146" s="308"/>
      <c r="E146" s="445" t="e">
        <f>+MATCH(D146,CP_2026!$C$18:$C$25,0)</f>
        <v>#N/A</v>
      </c>
      <c r="F146" s="458" t="str">
        <f>IF(B146=" "," ",IF(Calculo!$E$10=Calculo!$I$3,+ROUND(H146*(1-Calculo!$J$3),2),+IF(Calculo!$E$10=Calculo!$I$4,+ROUND(H146*(1-Calculo!$J$4),2),+IF(Calculo!$E$10=Calculo!$I$5,+ROUND(H146*(1-Calculo!$J$5),2),+IF(Calculo!$E$10=Calculo!$I$6,+ROUND(H146*(1-Calculo!$J$6),2),+IF(Calculo!$E$10=Calculo!$I$7,+ROUND(H146*(1-Calculo!$J$7),2),+IF(Calculo!$E$10=Calculo!$I$8,+ROUND(H146*(1-Calculo!$J$8),2),H146)))))))</f>
        <v xml:space="preserve"> </v>
      </c>
      <c r="G146" s="459" t="str">
        <f>IF(B146=" "," ",IF(B146="","",F146*C146))</f>
        <v xml:space="preserve"> </v>
      </c>
      <c r="H146" s="107" t="e">
        <f>IF(B146="","",+VLOOKUP(B146,CP_2026!$B$18:$L$25,11,FALSE))</f>
        <v>#N/A</v>
      </c>
      <c r="K146" s="107" t="e">
        <f>+VLOOKUP(B146,CP_2026!$B$57:$L$77,3,0)</f>
        <v>#N/A</v>
      </c>
      <c r="L146" s="107" t="e">
        <f>+K146*C146</f>
        <v>#N/A</v>
      </c>
      <c r="O146" s="468" t="str">
        <f t="shared" si="5"/>
        <v>En blanco</v>
      </c>
    </row>
    <row r="147" spans="2:15" hidden="1">
      <c r="B147" s="134" t="s">
        <v>165</v>
      </c>
      <c r="C147" s="259" t="str">
        <f>+L147&amp;" kg "</f>
        <v xml:space="preserve">1093.413 kg </v>
      </c>
      <c r="D147" s="484"/>
      <c r="E147" s="485"/>
      <c r="F147" s="449"/>
      <c r="G147" s="451"/>
      <c r="L147" s="107">
        <f>+SUMIF(L111:L146,"&gt;0")</f>
        <v>1093.4129999999998</v>
      </c>
    </row>
    <row r="148" spans="2:15" ht="13" hidden="1">
      <c r="C148" s="264"/>
      <c r="D148" s="448"/>
      <c r="E148" s="448" t="s">
        <v>166</v>
      </c>
      <c r="F148" s="449"/>
      <c r="G148" s="491">
        <f>SUM(G111:G147)</f>
        <v>6817.119999999999</v>
      </c>
    </row>
    <row r="149" spans="2:15" ht="13" hidden="1">
      <c r="C149" s="264"/>
      <c r="D149" s="448"/>
      <c r="E149" s="448"/>
      <c r="F149" s="449"/>
      <c r="G149" s="491"/>
    </row>
    <row r="150" spans="2:15" ht="13" hidden="1">
      <c r="C150" s="264"/>
      <c r="D150" s="450"/>
      <c r="E150" s="448"/>
      <c r="F150" s="449"/>
      <c r="G150" s="491"/>
    </row>
    <row r="151" spans="2:15" hidden="1">
      <c r="C151" s="264"/>
      <c r="D151" s="450"/>
      <c r="E151" s="501" t="s">
        <v>167</v>
      </c>
      <c r="F151" s="501"/>
      <c r="G151" s="497">
        <v>0</v>
      </c>
    </row>
    <row r="152" spans="2:15" hidden="1">
      <c r="C152" s="264"/>
      <c r="D152" s="448"/>
      <c r="E152" s="502" t="s">
        <v>168</v>
      </c>
      <c r="F152" s="503"/>
      <c r="G152" s="497">
        <f>+G148-G151</f>
        <v>6817.119999999999</v>
      </c>
    </row>
    <row r="153" spans="2:15" hidden="1">
      <c r="C153" s="264"/>
      <c r="D153" s="448"/>
      <c r="E153" s="502"/>
      <c r="F153" s="503"/>
      <c r="G153" s="497"/>
    </row>
    <row r="154" spans="2:15" ht="13" hidden="1">
      <c r="C154" s="264"/>
      <c r="D154" s="448"/>
      <c r="E154" s="495" t="s">
        <v>388</v>
      </c>
      <c r="F154" s="504">
        <f>+Calculo!J11</f>
        <v>0.15</v>
      </c>
      <c r="G154" s="497">
        <f>G152*F154</f>
        <v>1022.5679999999998</v>
      </c>
    </row>
    <row r="155" spans="2:15" ht="13" hidden="1">
      <c r="C155" s="264"/>
      <c r="D155" s="448"/>
      <c r="E155" s="495"/>
      <c r="F155" s="496"/>
      <c r="G155" s="497"/>
    </row>
    <row r="156" spans="2:15" ht="13" hidden="1">
      <c r="C156" s="264"/>
      <c r="D156" s="448"/>
      <c r="E156" s="496" t="s">
        <v>170</v>
      </c>
      <c r="F156" s="496" t="str">
        <f>+Calculo!E56</f>
        <v>Franquicia</v>
      </c>
      <c r="G156" s="498">
        <f>G152+G154</f>
        <v>7839.6879999999983</v>
      </c>
    </row>
    <row r="157" spans="2:15" ht="18" hidden="1">
      <c r="C157" s="118"/>
      <c r="D157" s="447"/>
      <c r="E157" s="499"/>
      <c r="F157" s="499"/>
      <c r="G157" s="505"/>
    </row>
    <row r="158" spans="2:15" ht="15.5" hidden="1">
      <c r="C158" s="118"/>
      <c r="D158" s="125"/>
      <c r="E158" s="177"/>
      <c r="F158" s="383"/>
      <c r="G158" s="383"/>
    </row>
    <row r="159" spans="2:15" ht="15.5" hidden="1">
      <c r="C159" s="118"/>
      <c r="D159" s="141"/>
      <c r="E159" s="506"/>
      <c r="F159" s="507"/>
      <c r="G159" s="508"/>
    </row>
    <row r="160" spans="2:15" ht="15.5" hidden="1">
      <c r="B160" s="342" t="s">
        <v>171</v>
      </c>
      <c r="C160" s="183"/>
      <c r="D160" s="177"/>
      <c r="E160" s="190"/>
      <c r="F160" s="488"/>
      <c r="G160" s="383"/>
    </row>
    <row r="161" spans="2:15" ht="15.5" hidden="1">
      <c r="C161" s="183"/>
      <c r="D161" s="177"/>
      <c r="E161" s="190"/>
      <c r="F161" s="190"/>
    </row>
    <row r="162" spans="2:15" ht="15.5" hidden="1">
      <c r="B162" s="109" t="s">
        <v>172</v>
      </c>
      <c r="D162" s="109"/>
      <c r="E162" s="190"/>
      <c r="F162" s="191"/>
      <c r="G162" s="138"/>
    </row>
    <row r="163" spans="2:15" ht="15.5" hidden="1">
      <c r="B163" s="177"/>
      <c r="C163" s="343"/>
      <c r="D163" s="177"/>
      <c r="E163" s="190"/>
      <c r="F163" s="191"/>
      <c r="G163" s="138"/>
    </row>
    <row r="164" spans="2:15" ht="15.5" hidden="1">
      <c r="B164" s="177"/>
      <c r="C164" s="343"/>
      <c r="D164" s="177"/>
      <c r="E164" s="190"/>
      <c r="F164" s="191"/>
      <c r="G164" s="138"/>
    </row>
    <row r="165" spans="2:15" ht="15.5" hidden="1">
      <c r="C165" s="265"/>
      <c r="D165" s="104"/>
      <c r="E165" s="125"/>
      <c r="F165" s="143"/>
      <c r="G165" s="104"/>
    </row>
    <row r="166" spans="2:15" ht="15.5" hidden="1">
      <c r="C166" s="118"/>
      <c r="E166" s="125"/>
      <c r="F166" s="143"/>
      <c r="G166" s="104"/>
    </row>
    <row r="167" spans="2:15" ht="15.5" hidden="1">
      <c r="B167" s="125" t="s">
        <v>173</v>
      </c>
      <c r="E167" s="144"/>
      <c r="F167" s="145"/>
      <c r="G167" s="138"/>
    </row>
    <row r="168" spans="2:15" ht="15.5" hidden="1">
      <c r="E168" s="144"/>
      <c r="F168" s="145"/>
      <c r="G168" s="138"/>
    </row>
    <row r="169" spans="2:15" ht="15.5" hidden="1">
      <c r="B169" s="107" t="str">
        <f>+Ingresar!D35</f>
        <v>Gutierrez Diego</v>
      </c>
      <c r="C169" s="266"/>
      <c r="E169" s="144"/>
      <c r="F169" s="145"/>
    </row>
    <row r="170" spans="2:15" ht="15.5" hidden="1">
      <c r="B170" s="107" t="str">
        <f>+VLOOKUP(B83,'DATOS PARTIDA'!I3:K47,2,FALSE)</f>
        <v>diego.gutierrez@bekaert.com</v>
      </c>
      <c r="C170" s="266"/>
      <c r="D170" s="133" t="str">
        <f>+VLOOKUP(B83,'DATOS PARTIDA'!I3:K47,3,FALSE)</f>
        <v>+593 993363971</v>
      </c>
      <c r="E170" s="144"/>
      <c r="F170" s="145"/>
      <c r="G170" s="595" t="str">
        <f>+CP_2026!A5</f>
        <v>LISTA DE PRECIOS 
VIGENTE  AGOSTO DE 2026</v>
      </c>
    </row>
    <row r="171" spans="2:15" ht="15.5" hidden="1">
      <c r="C171" s="266"/>
      <c r="E171" s="144"/>
      <c r="F171" s="145"/>
      <c r="G171" s="595"/>
    </row>
    <row r="172" spans="2:15" ht="15.5" hidden="1">
      <c r="B172" s="144" t="s">
        <v>215</v>
      </c>
      <c r="E172" s="144"/>
      <c r="G172" s="595"/>
    </row>
    <row r="173" spans="2:15" s="99" customFormat="1" ht="18" hidden="1">
      <c r="B173" s="592" t="s">
        <v>217</v>
      </c>
      <c r="C173" s="592"/>
      <c r="D173" s="592"/>
      <c r="E173" s="592"/>
      <c r="F173" s="98"/>
      <c r="G173" s="98"/>
      <c r="O173" s="384"/>
    </row>
    <row r="174" spans="2:15" s="99" customFormat="1" ht="18.5" hidden="1" thickBot="1">
      <c r="B174" s="593" t="str">
        <f>+Ingresar!F4</f>
        <v>RECUBRIMIENTO: DUPLEX ( GALVANIZADO + POLIESTER )</v>
      </c>
      <c r="C174" s="594"/>
      <c r="D174" s="594"/>
      <c r="E174" s="594"/>
      <c r="F174" s="100"/>
      <c r="G174" s="100"/>
      <c r="O174" s="384"/>
    </row>
    <row r="175" spans="2:15" s="99" customFormat="1" ht="18.5" hidden="1" thickTop="1">
      <c r="B175" s="101"/>
      <c r="C175" s="101"/>
      <c r="D175" s="101"/>
      <c r="E175" s="101"/>
      <c r="F175" s="102"/>
      <c r="G175" s="102"/>
      <c r="O175" s="384"/>
    </row>
    <row r="176" spans="2:15" ht="14" hidden="1">
      <c r="B176" s="103" t="s">
        <v>144</v>
      </c>
      <c r="C176" s="136"/>
      <c r="D176" s="104"/>
      <c r="E176" s="105" t="s">
        <v>145</v>
      </c>
      <c r="F176" s="105"/>
    </row>
    <row r="177" spans="2:7" ht="13" hidden="1">
      <c r="B177" s="105" t="s">
        <v>113</v>
      </c>
      <c r="C177" s="136"/>
      <c r="D177" s="104"/>
      <c r="E177" s="105" t="s">
        <v>146</v>
      </c>
      <c r="F177" s="105"/>
      <c r="G177" s="108"/>
    </row>
    <row r="178" spans="2:7" ht="15.5" hidden="1">
      <c r="B178" s="109" t="s">
        <v>147</v>
      </c>
      <c r="E178" s="105" t="s">
        <v>148</v>
      </c>
      <c r="F178" s="313"/>
      <c r="G178" s="110"/>
    </row>
    <row r="179" spans="2:7" ht="15.5" hidden="1">
      <c r="B179" s="109" t="s">
        <v>149</v>
      </c>
      <c r="E179" s="105" t="s">
        <v>174</v>
      </c>
      <c r="F179" s="106"/>
    </row>
    <row r="180" spans="2:7" ht="15.5" hidden="1">
      <c r="B180" s="109" t="s">
        <v>150</v>
      </c>
      <c r="F180" s="106"/>
      <c r="G180" s="111" t="s">
        <v>151</v>
      </c>
    </row>
    <row r="181" spans="2:7" ht="16" hidden="1" thickBot="1">
      <c r="B181" s="112"/>
      <c r="C181" s="260"/>
      <c r="D181" s="113"/>
      <c r="E181" s="112"/>
      <c r="F181" s="114"/>
      <c r="G181" s="115" t="s">
        <v>152</v>
      </c>
    </row>
    <row r="182" spans="2:7" ht="16" hidden="1" thickTop="1">
      <c r="D182" s="106"/>
      <c r="G182" s="116"/>
    </row>
    <row r="183" spans="2:7" ht="15.5" hidden="1">
      <c r="B183" s="117" t="s">
        <v>153</v>
      </c>
      <c r="D183" s="118"/>
    </row>
    <row r="184" spans="2:7" ht="15.5" hidden="1">
      <c r="B184" s="117"/>
      <c r="D184" s="118"/>
      <c r="F184" s="119" t="s">
        <v>154</v>
      </c>
      <c r="G184" s="107" t="str">
        <f>+Ingresar!D12</f>
        <v>sangolqui</v>
      </c>
    </row>
    <row r="185" spans="2:7" hidden="1">
      <c r="B185" s="120" t="str">
        <f>+Ingresar!D8</f>
        <v>XXXXXXX</v>
      </c>
      <c r="C185" s="261"/>
      <c r="D185" s="120"/>
      <c r="F185" s="121" t="s">
        <v>155</v>
      </c>
      <c r="G185" s="122">
        <f>+Ingreso!D15</f>
        <v>44845</v>
      </c>
    </row>
    <row r="186" spans="2:7" hidden="1">
      <c r="B186" s="120" t="str">
        <f>+Ingresar!D9</f>
        <v>XXXXXXX</v>
      </c>
      <c r="C186" s="261"/>
      <c r="D186" s="120"/>
      <c r="F186" s="119" t="s">
        <v>156</v>
      </c>
      <c r="G186" s="146" t="str">
        <f>+Ingreso!D13</f>
        <v>2222222adas</v>
      </c>
    </row>
    <row r="187" spans="2:7" hidden="1">
      <c r="B187" s="120" t="str">
        <f>+Ingresar!D10</f>
        <v>Quito Norte</v>
      </c>
      <c r="C187" s="261"/>
      <c r="D187" s="120"/>
      <c r="F187" s="123" t="s">
        <v>157</v>
      </c>
      <c r="G187" s="119" t="str">
        <f>+Ingresar!D14</f>
        <v>123@gmail.com</v>
      </c>
    </row>
    <row r="188" spans="2:7" hidden="1">
      <c r="F188" s="123"/>
      <c r="G188" s="119"/>
    </row>
    <row r="189" spans="2:7" ht="16" hidden="1" thickBot="1">
      <c r="B189" s="112"/>
      <c r="C189" s="260"/>
      <c r="D189" s="113"/>
      <c r="E189" s="112"/>
      <c r="F189" s="114"/>
      <c r="G189" s="115" t="s">
        <v>152</v>
      </c>
    </row>
    <row r="190" spans="2:7" ht="16" hidden="1" thickTop="1">
      <c r="D190" s="106"/>
    </row>
    <row r="191" spans="2:7" ht="15.5" hidden="1">
      <c r="B191" s="125" t="s">
        <v>158</v>
      </c>
      <c r="D191" s="125"/>
      <c r="E191" s="124"/>
      <c r="F191" s="106"/>
      <c r="G191" s="106"/>
    </row>
    <row r="192" spans="2:7" ht="15.5" hidden="1">
      <c r="C192" s="262"/>
      <c r="D192" s="125"/>
      <c r="E192" s="124"/>
      <c r="F192" s="126"/>
      <c r="G192" s="126"/>
    </row>
    <row r="193" spans="2:14" hidden="1">
      <c r="B193" s="586" t="s">
        <v>159</v>
      </c>
      <c r="C193" s="588" t="s">
        <v>160</v>
      </c>
      <c r="D193" s="588" t="s">
        <v>161</v>
      </c>
      <c r="E193" s="590"/>
      <c r="F193" s="586" t="s">
        <v>162</v>
      </c>
      <c r="G193" s="586" t="s">
        <v>163</v>
      </c>
      <c r="K193" s="585" t="s">
        <v>131</v>
      </c>
      <c r="L193" s="585" t="s">
        <v>212</v>
      </c>
    </row>
    <row r="194" spans="2:14" hidden="1">
      <c r="B194" s="587"/>
      <c r="C194" s="589"/>
      <c r="D194" s="589"/>
      <c r="E194" s="591"/>
      <c r="F194" s="587"/>
      <c r="G194" s="587"/>
      <c r="K194" s="585"/>
      <c r="L194" s="585"/>
    </row>
    <row r="195" spans="2:14" hidden="1">
      <c r="B195" s="127"/>
      <c r="C195" s="203">
        <f>+Calculo!B76</f>
        <v>130</v>
      </c>
      <c r="D195" s="128" t="str">
        <f>+" CERCAS PRO "&amp;Ingresar!$C$4&amp;" "&amp;Ingresar!$D$27&amp;" h = 1,25"</f>
        <v xml:space="preserve"> CERCAS PRO INTRADOMICILIARIA VERDE h = 1,25</v>
      </c>
      <c r="E195" s="129"/>
      <c r="F195" s="314"/>
      <c r="G195" s="129"/>
    </row>
    <row r="196" spans="2:14" hidden="1">
      <c r="B196" s="347"/>
      <c r="C196" s="267"/>
      <c r="D196" s="131"/>
      <c r="E196" s="132"/>
      <c r="F196" s="315" t="s">
        <v>164</v>
      </c>
      <c r="G196" s="316"/>
    </row>
    <row r="197" spans="2:14" hidden="1">
      <c r="B197" s="184">
        <f>+Calculo!A91</f>
        <v>270428</v>
      </c>
      <c r="C197" s="230">
        <f>+Calculo!B87</f>
        <v>87</v>
      </c>
      <c r="D197" s="227" t="str">
        <f>+Calculo!B91</f>
        <v>Pro Intradom 1,25x1,50m Verde</v>
      </c>
      <c r="E197" s="183"/>
      <c r="F197" s="441">
        <f>+Calculo!H91</f>
        <v>27.94</v>
      </c>
      <c r="G197" s="441">
        <f t="shared" ref="G197:G202" si="6">IF(B197="","",F197*C197)</f>
        <v>2430.7800000000002</v>
      </c>
      <c r="K197" s="107">
        <f>+VLOOKUP(B197,CP_2026!$B$8:$L$55,3,0)</f>
        <v>4.97</v>
      </c>
      <c r="L197" s="107">
        <f>+K197*C197</f>
        <v>432.39</v>
      </c>
    </row>
    <row r="198" spans="2:14" hidden="1">
      <c r="B198" s="184">
        <f>+Calculo!J94</f>
        <v>270430</v>
      </c>
      <c r="C198" s="230">
        <f>+C197+1</f>
        <v>88</v>
      </c>
      <c r="D198" s="186" t="str">
        <f>+Calculo!K94</f>
        <v>Pro Intradom Kit Poste 1.70 Verde</v>
      </c>
      <c r="E198" s="183"/>
      <c r="F198" s="441">
        <f>IF(B198=" "," ",Calculo!Q91)</f>
        <v>29.59</v>
      </c>
      <c r="G198" s="441">
        <f t="shared" si="6"/>
        <v>2603.92</v>
      </c>
      <c r="K198" s="107">
        <f>+VLOOKUP(B198,CP_2026!$B$8:$L$55,3,0)</f>
        <v>2.3199999999999998</v>
      </c>
      <c r="L198" s="107">
        <f t="shared" ref="L198:L203" si="7">+K198*C198</f>
        <v>204.16</v>
      </c>
    </row>
    <row r="199" spans="2:14" hidden="1">
      <c r="B199" s="184">
        <f>+Calculo!S91</f>
        <v>270433</v>
      </c>
      <c r="C199" s="230">
        <f>+C197/C197</f>
        <v>1</v>
      </c>
      <c r="D199" s="186" t="str">
        <f>+Calculo!T91</f>
        <v>Pro Intradom Kit Puerta Verde</v>
      </c>
      <c r="E199" s="183"/>
      <c r="F199" s="441">
        <f>+Calculo!V94</f>
        <v>126.55</v>
      </c>
      <c r="G199" s="441">
        <f t="shared" si="6"/>
        <v>126.55</v>
      </c>
      <c r="K199" s="107">
        <f>+VLOOKUP(B199,CP_2026!$B$8:$L$55,3,0)</f>
        <v>9.73</v>
      </c>
      <c r="L199" s="107">
        <f t="shared" si="7"/>
        <v>9.73</v>
      </c>
    </row>
    <row r="200" spans="2:14" hidden="1">
      <c r="B200" s="184"/>
      <c r="C200" s="230"/>
      <c r="D200" s="178"/>
      <c r="E200" s="183"/>
      <c r="F200" s="441"/>
      <c r="G200" s="441" t="str">
        <f t="shared" si="6"/>
        <v/>
      </c>
      <c r="K200" s="107" t="e">
        <f>+VLOOKUP(B200,CP_2026!$B$8:$L$55,3,0)</f>
        <v>#N/A</v>
      </c>
      <c r="L200" s="107" t="e">
        <f t="shared" si="7"/>
        <v>#N/A</v>
      </c>
    </row>
    <row r="201" spans="2:14" hidden="1">
      <c r="B201" s="184"/>
      <c r="C201" s="230"/>
      <c r="D201" s="186"/>
      <c r="E201" s="183"/>
      <c r="F201" s="441"/>
      <c r="G201" s="441" t="str">
        <f t="shared" si="6"/>
        <v/>
      </c>
      <c r="K201" s="107" t="e">
        <f>+VLOOKUP(B201,CP_2026!$B$8:$L$55,3,0)</f>
        <v>#N/A</v>
      </c>
      <c r="L201" s="107" t="e">
        <f t="shared" si="7"/>
        <v>#N/A</v>
      </c>
    </row>
    <row r="202" spans="2:14" hidden="1">
      <c r="B202" s="181"/>
      <c r="C202" s="230"/>
      <c r="D202" s="186"/>
      <c r="E202" s="183"/>
      <c r="F202" s="441"/>
      <c r="G202" s="441" t="str">
        <f t="shared" si="6"/>
        <v/>
      </c>
      <c r="K202" s="107" t="e">
        <f>+VLOOKUP(B202,CP_2026!$B$8:$L$55,3,0)</f>
        <v>#N/A</v>
      </c>
      <c r="L202" s="107" t="e">
        <f t="shared" si="7"/>
        <v>#N/A</v>
      </c>
    </row>
    <row r="203" spans="2:14" hidden="1">
      <c r="B203" s="184" t="str">
        <f>+IF(Calculo!E192="S",+Calculo!CA219," ")</f>
        <v xml:space="preserve"> </v>
      </c>
      <c r="C203" s="348" t="str">
        <f>IF(B203=" "," ",+C197*4)</f>
        <v xml:space="preserve"> </v>
      </c>
      <c r="D203" s="186" t="str">
        <f>IF(B203=" "," ",+Calculo!CB216)</f>
        <v xml:space="preserve"> </v>
      </c>
      <c r="E203" s="183"/>
      <c r="F203" s="441" t="str">
        <f>IF(B203=" "," ",+Calculo!CD219)</f>
        <v xml:space="preserve"> </v>
      </c>
      <c r="G203" s="441" t="str">
        <f>IF(B203=" "," ",IF(B203="","",F203*C203))</f>
        <v xml:space="preserve"> </v>
      </c>
      <c r="K203" s="107" t="e">
        <f>+VLOOKUP(B203,CP_2026!$B$8:$L$55,3,0)</f>
        <v>#N/A</v>
      </c>
      <c r="L203" s="107" t="e">
        <f t="shared" si="7"/>
        <v>#N/A</v>
      </c>
      <c r="N203" s="133"/>
    </row>
    <row r="204" spans="2:14" hidden="1">
      <c r="B204" s="181" t="str">
        <f>+IF(Calculo!P182="N",Calculo!AR216," ")</f>
        <v xml:space="preserve"> </v>
      </c>
      <c r="C204" s="348" t="str">
        <f>IF(B204=" "," ",+C198*4)</f>
        <v xml:space="preserve"> </v>
      </c>
      <c r="D204" s="186" t="str">
        <f>IF(B204=" "," ",Calculo!AS216)</f>
        <v xml:space="preserve"> </v>
      </c>
      <c r="E204" s="183"/>
      <c r="F204" s="441" t="str">
        <f>IF(B204=" "," ",Calculo!AU216)</f>
        <v xml:space="preserve"> </v>
      </c>
      <c r="G204" s="441" t="str">
        <f>IF(B204=" "," ",IF(B204="","",F204*C204))</f>
        <v xml:space="preserve"> </v>
      </c>
      <c r="K204" s="107" t="str">
        <f>IF(B204=" "," ",+VLOOKUP(B204,CP_2026!$B$28:$L$55,3,0))</f>
        <v xml:space="preserve"> </v>
      </c>
      <c r="L204" s="107" t="str">
        <f>+IF(B204=" "," ",K204*C204)</f>
        <v xml:space="preserve"> </v>
      </c>
    </row>
    <row r="205" spans="2:14" hidden="1">
      <c r="B205" s="181" t="str">
        <f>+IF(Calculo!E193="S",Calculo!BL216," ")</f>
        <v xml:space="preserve"> </v>
      </c>
      <c r="C205" s="230" t="str">
        <f>IF(B205=" "," ",C197)</f>
        <v xml:space="preserve"> </v>
      </c>
      <c r="D205" s="178" t="str">
        <f>IF(B205=" "," ",Calculo!BM216)</f>
        <v xml:space="preserve"> </v>
      </c>
      <c r="E205" s="179"/>
      <c r="F205" s="441" t="str">
        <f>IF(B205=" "," ",Calculo!BO216)</f>
        <v xml:space="preserve"> </v>
      </c>
      <c r="G205" s="441" t="str">
        <f>IF(B205=" "," ",IF(B205="","",F205*C205))</f>
        <v xml:space="preserve"> </v>
      </c>
      <c r="K205" s="107" t="str">
        <f>+IF(B204=" "," ",VLOOKUP(B205,CP_2026!$B$28:$L$55,3,0))</f>
        <v xml:space="preserve"> </v>
      </c>
      <c r="L205" s="107" t="str">
        <f>IF(B204=" "," ",+K205*C205)</f>
        <v xml:space="preserve"> </v>
      </c>
    </row>
    <row r="206" spans="2:14" hidden="1">
      <c r="B206" s="181" t="str">
        <f>+IF(Calculo!E193="S",Calculo!BG216," ")</f>
        <v xml:space="preserve"> </v>
      </c>
      <c r="C206" s="230" t="str">
        <f>IF(B205=" "," ",C205*3)</f>
        <v xml:space="preserve"> </v>
      </c>
      <c r="D206" s="186" t="str">
        <f>IF(B206=" "," ",+Calculo!BH216)</f>
        <v xml:space="preserve"> </v>
      </c>
      <c r="E206" s="179"/>
      <c r="F206" s="441" t="str">
        <f>IF(B206=" "," ",Calculo!BJ216)</f>
        <v xml:space="preserve"> </v>
      </c>
      <c r="G206" s="441" t="str">
        <f>IF(B206=" "," ",IF(B206="","",F206*C206))</f>
        <v xml:space="preserve"> </v>
      </c>
      <c r="K206" s="107" t="str">
        <f>+IF(B204=" "," ",VLOOKUP(B206,CP_2026!$B$28:$L$55,3,0))</f>
        <v xml:space="preserve"> </v>
      </c>
      <c r="L206" s="107" t="str">
        <f>IF(B204=" "," ",+K206*C206)</f>
        <v xml:space="preserve"> </v>
      </c>
    </row>
    <row r="207" spans="2:14" hidden="1">
      <c r="B207" s="181"/>
      <c r="C207" s="230"/>
      <c r="D207" s="186"/>
      <c r="E207" s="179"/>
      <c r="F207" s="441"/>
      <c r="G207" s="441"/>
    </row>
    <row r="208" spans="2:14" hidden="1">
      <c r="B208" s="181"/>
      <c r="C208" s="230"/>
      <c r="D208" s="186"/>
      <c r="E208" s="179"/>
      <c r="F208" s="441"/>
      <c r="G208" s="441"/>
    </row>
    <row r="209" spans="2:15" hidden="1">
      <c r="B209" s="181"/>
      <c r="C209" s="230"/>
      <c r="D209" s="178"/>
      <c r="E209" s="179"/>
      <c r="F209" s="441"/>
      <c r="G209" s="441"/>
    </row>
    <row r="210" spans="2:15" hidden="1">
      <c r="B210" s="181"/>
      <c r="C210" s="348"/>
      <c r="D210" s="180"/>
      <c r="E210" s="179"/>
      <c r="F210" s="441"/>
      <c r="G210" s="441"/>
    </row>
    <row r="211" spans="2:15" hidden="1">
      <c r="B211" s="181"/>
      <c r="C211" s="349"/>
      <c r="D211" s="178"/>
      <c r="E211" s="179"/>
      <c r="F211" s="441"/>
      <c r="G211" s="441"/>
    </row>
    <row r="212" spans="2:15" hidden="1">
      <c r="B212" s="181"/>
      <c r="C212" s="348"/>
      <c r="D212" s="178"/>
      <c r="E212" s="179"/>
      <c r="F212" s="441"/>
      <c r="G212" s="441"/>
    </row>
    <row r="213" spans="2:15" hidden="1">
      <c r="B213" s="185"/>
      <c r="C213" s="348"/>
      <c r="D213" s="180"/>
      <c r="E213" s="179"/>
      <c r="F213" s="441"/>
      <c r="G213" s="441"/>
    </row>
    <row r="214" spans="2:15" hidden="1">
      <c r="B214" s="239"/>
      <c r="C214" s="320" t="s">
        <v>259</v>
      </c>
      <c r="D214" s="240"/>
      <c r="E214" s="241"/>
      <c r="F214" s="461"/>
      <c r="G214" s="462"/>
    </row>
    <row r="215" spans="2:15" hidden="1">
      <c r="B215" s="232">
        <f>+Calculo!AM91</f>
        <v>189205</v>
      </c>
      <c r="C215" s="312">
        <f>+Calculo!B13</f>
        <v>6</v>
      </c>
      <c r="D215" s="187" t="str">
        <f>+Calculo!AN91</f>
        <v>SPRAY VERDE 077 SEYER</v>
      </c>
      <c r="E215" s="135"/>
      <c r="F215" s="441">
        <f>+Calculo!AP91</f>
        <v>3.63</v>
      </c>
      <c r="G215" s="441">
        <f>IF(B215="","",F215*C215)</f>
        <v>21.78</v>
      </c>
      <c r="K215" s="107">
        <f>+VLOOKUP(B215,CP_2026!$B$28:$L$55,3,0)</f>
        <v>0.56000000000000005</v>
      </c>
      <c r="L215" s="107">
        <f>+K215*C215</f>
        <v>3.3600000000000003</v>
      </c>
    </row>
    <row r="216" spans="2:15" hidden="1">
      <c r="B216" s="233"/>
      <c r="C216" s="231"/>
      <c r="D216" s="187"/>
      <c r="E216" s="135"/>
      <c r="F216" s="441"/>
      <c r="G216" s="441"/>
      <c r="K216" s="107" t="e">
        <f>+VLOOKUP(#REF!,CP_2026!$B$28:$L$55,3,0)</f>
        <v>#REF!</v>
      </c>
      <c r="L216" s="107" t="e">
        <f>+K216*C216</f>
        <v>#REF!</v>
      </c>
    </row>
    <row r="217" spans="2:15" hidden="1">
      <c r="B217" s="234"/>
      <c r="C217" s="268"/>
      <c r="D217" s="218"/>
      <c r="E217" s="135"/>
      <c r="F217" s="441"/>
      <c r="G217" s="442"/>
    </row>
    <row r="218" spans="2:15" hidden="1">
      <c r="B218" s="234"/>
      <c r="C218" s="268"/>
      <c r="D218" s="218"/>
      <c r="E218" s="135"/>
      <c r="F218" s="441"/>
      <c r="G218" s="442"/>
    </row>
    <row r="219" spans="2:15" hidden="1">
      <c r="B219" s="233"/>
      <c r="C219" s="231"/>
      <c r="D219" s="187"/>
      <c r="E219" s="135"/>
      <c r="F219" s="441"/>
      <c r="G219" s="441"/>
      <c r="K219" s="107" t="e">
        <f>+VLOOKUP(#REF!,CP_2026!$B$28:$L$55,3,0)</f>
        <v>#REF!</v>
      </c>
      <c r="L219" s="107" t="e">
        <f>+K219*C219</f>
        <v>#REF!</v>
      </c>
    </row>
    <row r="220" spans="2:15" hidden="1">
      <c r="B220" s="234"/>
      <c r="C220" s="268"/>
      <c r="D220" s="218"/>
      <c r="E220" s="135"/>
      <c r="F220" s="441"/>
      <c r="G220" s="442"/>
    </row>
    <row r="221" spans="2:15" hidden="1">
      <c r="B221" s="233"/>
      <c r="C221" s="231"/>
      <c r="D221" s="187"/>
      <c r="E221" s="135"/>
      <c r="F221" s="441"/>
      <c r="G221" s="441"/>
      <c r="K221" s="107" t="e">
        <f>+VLOOKUP(#REF!,CP_2026!$B$28:$L$55,3,0)</f>
        <v>#REF!</v>
      </c>
      <c r="L221" s="107" t="e">
        <f>+K221*C221</f>
        <v>#REF!</v>
      </c>
    </row>
    <row r="222" spans="2:15" hidden="1">
      <c r="B222" s="234"/>
      <c r="C222" s="268"/>
      <c r="D222" s="218"/>
      <c r="E222" s="135"/>
      <c r="F222" s="441"/>
      <c r="G222" s="442"/>
    </row>
    <row r="223" spans="2:15" hidden="1">
      <c r="B223" s="233"/>
      <c r="C223" s="268"/>
      <c r="D223" s="218"/>
      <c r="E223" s="135"/>
      <c r="F223" s="441"/>
      <c r="G223" s="442"/>
    </row>
    <row r="224" spans="2:15" hidden="1">
      <c r="B224" s="239"/>
      <c r="C224" s="320" t="s">
        <v>261</v>
      </c>
      <c r="D224" s="240"/>
      <c r="E224" s="241"/>
      <c r="F224" s="461"/>
      <c r="G224" s="462"/>
      <c r="O224" s="468"/>
    </row>
    <row r="225" spans="2:15" hidden="1">
      <c r="B225" s="189" t="str">
        <f>++IF(O225="En blanco"," ",IF(Ingresar!$D$29="N"," ",+VLOOKUP(E225,CP_2026!$A$9:$L$16,2,TRUE)))</f>
        <v xml:space="preserve"> </v>
      </c>
      <c r="C225" s="257"/>
      <c r="D225" s="306"/>
      <c r="E225" s="443" t="e">
        <f>+MATCH(D225,CP_2026!$C$9:$C$16,0)</f>
        <v>#N/A</v>
      </c>
      <c r="F225" s="441" t="str">
        <f>IF(B225=" "," ",IF(Calculo!$E$10=Calculo!$I$3,+ROUND(H225*(1-Calculo!$J$3),2),+IF(Calculo!$E$10=Calculo!$I$4,+ROUND(H225*(1-Calculo!$J$4),2),+IF(Calculo!$E$10=Calculo!$I$5,+ROUND(H225*(1-Calculo!$J$5),2),+IF(Calculo!$E$10=Calculo!$I$6,+ROUND(H225*(1-Calculo!$J$6),2),+IF(Calculo!$E$10=Calculo!$I$7,+ROUND(H225*(1-Calculo!$J$7),2),+IF(Calculo!$E$10=Calculo!$I$8,+ROUND(H225*(1-Calculo!$J$8),2),H225)))))))</f>
        <v xml:space="preserve"> </v>
      </c>
      <c r="G225" s="442" t="str">
        <f>IF(B225=" "," ",IF(B225="","",F225*C225))</f>
        <v xml:space="preserve"> </v>
      </c>
      <c r="H225" s="107" t="str">
        <f>++IF(O225="En blanco"," ",IF(Ingresar!$D$29="N"," ",+VLOOKUP(E225,CP_2026!$A$9:$L$16,12,TRUE)))</f>
        <v xml:space="preserve"> </v>
      </c>
      <c r="K225" s="107" t="e">
        <f>+VLOOKUP(B225,CP_2026!$B$57:$L$77,3,0)</f>
        <v>#N/A</v>
      </c>
      <c r="L225" s="107" t="e">
        <f>+K53*C53</f>
        <v>#N/A</v>
      </c>
      <c r="O225" s="468" t="str">
        <f>IF(ISBLANK(C225),"En blanco","No está en blanco")</f>
        <v>En blanco</v>
      </c>
    </row>
    <row r="226" spans="2:15" hidden="1">
      <c r="B226" s="189" t="str">
        <f>++IF(O226="En blanco"," ",IF(Ingresar!$D$29="N"," ",+VLOOKUP(E226,CP_2026!$A$9:$L$16,2,TRUE)))</f>
        <v xml:space="preserve"> </v>
      </c>
      <c r="C226" s="257"/>
      <c r="D226" s="306"/>
      <c r="E226" s="443" t="e">
        <f>+MATCH(D226,CP_2026!$C$9:$C$16,0)</f>
        <v>#N/A</v>
      </c>
      <c r="F226" s="441" t="str">
        <f>IF(B226=" "," ",IF(Calculo!$E$10=Calculo!$I$3,+ROUND(H226*(1-Calculo!$J$3),2),+IF(Calculo!$E$10=Calculo!$I$4,+ROUND(H226*(1-Calculo!$J$4),2),+IF(Calculo!$E$10=Calculo!$I$5,+ROUND(H226*(1-Calculo!$J$5),2),+IF(Calculo!$E$10=Calculo!$I$6,+ROUND(H226*(1-Calculo!$J$6),2),+IF(Calculo!$E$10=Calculo!$I$7,+ROUND(H226*(1-Calculo!$J$7),2),+IF(Calculo!$E$10=Calculo!$I$8,+ROUND(H226*(1-Calculo!$J$8),2),H226)))))))</f>
        <v xml:space="preserve"> </v>
      </c>
      <c r="G226" s="442" t="str">
        <f>IF(B226=" "," ",IF(B226="","",F226*C226))</f>
        <v xml:space="preserve"> </v>
      </c>
      <c r="H226" s="107" t="str">
        <f>++IF(O226="En blanco"," ",IF(Ingresar!$D$29="N"," ",+VLOOKUP(E226,CP_2026!$A$9:$L$16,12,TRUE)))</f>
        <v xml:space="preserve"> </v>
      </c>
      <c r="K226" s="107" t="e">
        <f>+VLOOKUP(B226,CP_2026!$B$57:$L$77,3,0)</f>
        <v>#N/A</v>
      </c>
      <c r="L226" s="107" t="e">
        <f>+K54*C54</f>
        <v>#N/A</v>
      </c>
      <c r="O226" s="468" t="str">
        <f t="shared" ref="O226:O232" si="8">IF(ISBLANK(C226),"En blanco","No está en blanco")</f>
        <v>En blanco</v>
      </c>
    </row>
    <row r="227" spans="2:15" hidden="1">
      <c r="B227" s="189" t="str">
        <f>++IF(O227="En blanco"," ",IF(Ingresar!$D$29="N"," ",+VLOOKUP(E227,CP_2026!$A$9:$L$16,2,TRUE)))</f>
        <v xml:space="preserve"> </v>
      </c>
      <c r="C227" s="257"/>
      <c r="D227" s="306"/>
      <c r="E227" s="443" t="e">
        <f>+MATCH(D227,CP_2026!$C$9:$C$16,0)</f>
        <v>#N/A</v>
      </c>
      <c r="F227" s="441" t="str">
        <f>IF(B227=" "," ",IF(Calculo!$E$10=Calculo!$I$3,+ROUND(H227*(1-Calculo!$J$3),2),+IF(Calculo!$E$10=Calculo!$I$4,+ROUND(H227*(1-Calculo!$J$4),2),+IF(Calculo!$E$10=Calculo!$I$5,+ROUND(H227*(1-Calculo!$J$5),2),+IF(Calculo!$E$10=Calculo!$I$6,+ROUND(H227*(1-Calculo!$J$6),2),+IF(Calculo!$E$10=Calculo!$I$7,+ROUND(H227*(1-Calculo!$J$7),2),+IF(Calculo!$E$10=Calculo!$I$8,+ROUND(H227*(1-Calculo!$J$8),2),H227)))))))</f>
        <v xml:space="preserve"> </v>
      </c>
      <c r="G227" s="442" t="str">
        <f>IF(B227=" "," ",IF(B227="","",F227*C227))</f>
        <v xml:space="preserve"> </v>
      </c>
      <c r="H227" s="107" t="str">
        <f>++IF(O227="En blanco"," ",IF(Ingresar!$D$29="N"," ",+VLOOKUP(E227,CP_2026!$A$9:$L$16,12,TRUE)))</f>
        <v xml:space="preserve"> </v>
      </c>
      <c r="K227" s="107" t="e">
        <f>+VLOOKUP(B227,CP_2026!$B$57:$L$77,3,0)</f>
        <v>#N/A</v>
      </c>
      <c r="L227" s="107" t="e">
        <f>+K55*C55</f>
        <v>#N/A</v>
      </c>
      <c r="O227" s="468" t="str">
        <f t="shared" si="8"/>
        <v>En blanco</v>
      </c>
    </row>
    <row r="228" spans="2:15" hidden="1">
      <c r="B228" s="239"/>
      <c r="C228" s="320" t="s">
        <v>260</v>
      </c>
      <c r="D228" s="241"/>
      <c r="E228" s="289"/>
      <c r="F228" s="461"/>
      <c r="G228" s="462"/>
      <c r="O228" s="468"/>
    </row>
    <row r="229" spans="2:15" hidden="1">
      <c r="B229" s="269" t="str">
        <f>++IF(O229="En blanco"," ",IF(Ingresar!$D$29="N"," ",+VLOOKUP(E229,CP_2026!$A$9:$L$16,2,TRUE)))</f>
        <v xml:space="preserve"> </v>
      </c>
      <c r="C229" s="270"/>
      <c r="D229" s="307"/>
      <c r="E229" s="443" t="e">
        <f>+MATCH(D229,CP_2026!$C$9:$C$16,0)</f>
        <v>#N/A</v>
      </c>
      <c r="F229" s="456" t="str">
        <f>IF(B229=" "," ",IF(Calculo!$E$10=Calculo!$I$3,+ROUND(H229*(1-Calculo!$J$3),2),+IF(Calculo!$E$10=Calculo!$I$4,+ROUND(H229*(1-Calculo!$J$4),2),+IF(Calculo!$E$10=Calculo!$I$5,+ROUND(H229*(1-Calculo!$J$5),2),+IF(Calculo!$E$10=Calculo!$I$6,+ROUND(H229*(1-Calculo!$J$6),2),+IF(Calculo!$E$10=Calculo!$I$7,+ROUND(H229*(1-Calculo!$J$7),2),+IF(Calculo!$E$10=Calculo!$I$8,+ROUND(H229*(1-Calculo!$J$8),2),H229)))))))</f>
        <v xml:space="preserve"> </v>
      </c>
      <c r="G229" s="457" t="str">
        <f>IF(B229=" "," ",F229*C229)</f>
        <v xml:space="preserve"> </v>
      </c>
      <c r="H229" s="107" t="str">
        <f>++IF(O229="En blanco"," ",IF(Ingresar!$D$29="N"," ",+VLOOKUP(E229,CP_2026!$A$9:$L$16,12,TRUE)))</f>
        <v xml:space="preserve"> </v>
      </c>
      <c r="K229" s="107" t="e">
        <f>+VLOOKUP(B229,CP_2026!$B$57:$L$77,3,0)</f>
        <v>#N/A</v>
      </c>
      <c r="L229" s="107" t="e">
        <f>+K57*C57</f>
        <v>#N/A</v>
      </c>
      <c r="O229" s="468" t="str">
        <f t="shared" si="8"/>
        <v>En blanco</v>
      </c>
    </row>
    <row r="230" spans="2:15" hidden="1">
      <c r="B230" s="189" t="str">
        <f>++IF(O230="En blanco"," ",IF(Ingresar!$D$29="N"," ",+VLOOKUP(E230,CP_2026!$A$9:$L$16,2,TRUE)))</f>
        <v xml:space="preserve"> </v>
      </c>
      <c r="C230" s="257"/>
      <c r="D230" s="306"/>
      <c r="E230" s="443" t="e">
        <f>+MATCH(D230,CP_2026!$C$9:$C$16,0)</f>
        <v>#N/A</v>
      </c>
      <c r="F230" s="441" t="str">
        <f>IF(B230=" "," ",IF(Calculo!$E$10=Calculo!$I$3,+ROUND(H230*(1-Calculo!$J$3),2),+IF(Calculo!$E$10=Calculo!$I$4,+ROUND(H230*(1-Calculo!$J$4),2),+IF(Calculo!$E$10=Calculo!$I$5,+ROUND(H230*(1-Calculo!$J$5),2),+IF(Calculo!$E$10=Calculo!$I$6,+ROUND(H230*(1-Calculo!$J$6),2),+IF(Calculo!$E$10=Calculo!$I$7,+ROUND(H230*(1-Calculo!$J$7),2),+IF(Calculo!$E$10=Calculo!$I$8,+ROUND(H230*(1-Calculo!$J$8),2),H230)))))))</f>
        <v xml:space="preserve"> </v>
      </c>
      <c r="G230" s="442" t="str">
        <f>IF(B230=" "," ",F230*C230)</f>
        <v xml:space="preserve"> </v>
      </c>
      <c r="H230" s="107" t="str">
        <f>++IF(O230="En blanco"," ",IF(Ingresar!$D$29="N"," ",+VLOOKUP(E230,CP_2026!$A$9:$L$16,12,TRUE)))</f>
        <v xml:space="preserve"> </v>
      </c>
      <c r="K230" s="107" t="e">
        <f>+VLOOKUP(B230,CP_2026!$B$57:$L$77,3,0)</f>
        <v>#N/A</v>
      </c>
      <c r="L230" s="107" t="e">
        <f>+K58*C58</f>
        <v>#N/A</v>
      </c>
      <c r="O230" s="468" t="str">
        <f t="shared" si="8"/>
        <v>En blanco</v>
      </c>
    </row>
    <row r="231" spans="2:15" hidden="1">
      <c r="B231" s="189" t="str">
        <f>++IF(O231="En blanco"," ",IF(Ingresar!$D$29="N"," ",+VLOOKUP(E231,CP_2026!$A$9:$L$16,2,TRUE)))</f>
        <v xml:space="preserve"> </v>
      </c>
      <c r="C231" s="257"/>
      <c r="D231" s="306"/>
      <c r="E231" s="443" t="e">
        <f>+MATCH(D231,CP_2026!$C$9:$C$16,0)</f>
        <v>#N/A</v>
      </c>
      <c r="F231" s="441" t="str">
        <f>IF(B231=" "," ",IF(Calculo!$E$10=Calculo!$I$3,+ROUND(H231*(1-Calculo!$J$3),2),+IF(Calculo!$E$10=Calculo!$I$4,+ROUND(H231*(1-Calculo!$J$4),2),+IF(Calculo!$E$10=Calculo!$I$5,+ROUND(H231*(1-Calculo!$J$5),2),+IF(Calculo!$E$10=Calculo!$I$6,+ROUND(H231*(1-Calculo!$J$6),2),+IF(Calculo!$E$10=Calculo!$I$7,+ROUND(H231*(1-Calculo!$J$7),2),+IF(Calculo!$E$10=Calculo!$I$8,+ROUND(H231*(1-Calculo!$J$8),2),H231)))))))</f>
        <v xml:space="preserve"> </v>
      </c>
      <c r="G231" s="442" t="str">
        <f>IF(B231=" "," ",F231*C231)</f>
        <v xml:space="preserve"> </v>
      </c>
      <c r="H231" s="107" t="str">
        <f>++IF(O231="En blanco"," ",IF(Ingresar!$D$29="N"," ",+VLOOKUP(E231,CP_2026!$A$9:$L$16,12,TRUE)))</f>
        <v xml:space="preserve"> </v>
      </c>
      <c r="K231" s="107" t="e">
        <f>+VLOOKUP(B231,CP_2026!$B$57:$L$77,3,0)</f>
        <v>#N/A</v>
      </c>
      <c r="L231" s="107" t="e">
        <f>+K59*C59</f>
        <v>#N/A</v>
      </c>
      <c r="O231" s="468" t="str">
        <f t="shared" si="8"/>
        <v>En blanco</v>
      </c>
    </row>
    <row r="232" spans="2:15" hidden="1">
      <c r="B232" s="271" t="str">
        <f>++IF(O232="En blanco"," ",IF(Ingresar!$D$29="N"," ",+VLOOKUP(E232,CP_2026!$A$9:$L$16,2,TRUE)))</f>
        <v xml:space="preserve"> </v>
      </c>
      <c r="C232" s="258"/>
      <c r="D232" s="308"/>
      <c r="E232" s="445" t="e">
        <f>+MATCH(D232,CP_2026!$C$9:$C$16,0)</f>
        <v>#N/A</v>
      </c>
      <c r="F232" s="458" t="str">
        <f>IF(B232=" "," ",IF(Calculo!$E$10=Calculo!$I$3,+ROUND(H232*(1-Calculo!$J$3),2),+IF(Calculo!$E$10=Calculo!$I$4,+ROUND(H232*(1-Calculo!$J$4),2),+IF(Calculo!$E$10=Calculo!$I$5,+ROUND(H232*(1-Calculo!$J$5),2),+IF(Calculo!$E$10=Calculo!$I$6,+ROUND(H232*(1-Calculo!$J$6),2),+IF(Calculo!$E$10=Calculo!$I$7,+ROUND(H232*(1-Calculo!$J$7),2),+IF(Calculo!$E$10=Calculo!$I$8,+ROUND(H232*(1-Calculo!$J$8),2),H232)))))))</f>
        <v xml:space="preserve"> </v>
      </c>
      <c r="G232" s="459" t="str">
        <f>IF(B232=" "," ",F232*C232)</f>
        <v xml:space="preserve"> </v>
      </c>
      <c r="H232" s="107" t="str">
        <f>++IF(O232="En blanco"," ",IF(Ingresar!$D$29="N"," ",+VLOOKUP(E232,CP_2026!$A$9:$L$16,12,TRUE)))</f>
        <v xml:space="preserve"> </v>
      </c>
      <c r="K232" s="107" t="e">
        <f>+VLOOKUP(B232,CP_2026!$B$57:$L$77,3,0)</f>
        <v>#N/A</v>
      </c>
      <c r="L232" s="107" t="e">
        <f>+K60*C60</f>
        <v>#N/A</v>
      </c>
      <c r="O232" s="468" t="str">
        <f t="shared" si="8"/>
        <v>En blanco</v>
      </c>
    </row>
    <row r="233" spans="2:15" hidden="1">
      <c r="B233" s="134" t="s">
        <v>165</v>
      </c>
      <c r="C233" s="259" t="str">
        <f>+L233&amp;" kg "</f>
        <v xml:space="preserve">649.64 kg </v>
      </c>
      <c r="D233" s="484"/>
      <c r="E233" s="485"/>
      <c r="F233" s="449"/>
      <c r="G233" s="451"/>
      <c r="L233" s="107">
        <f>+SUMIF(L197:L232,"&gt;0")</f>
        <v>649.64</v>
      </c>
    </row>
    <row r="234" spans="2:15" ht="13" hidden="1">
      <c r="C234" s="264"/>
      <c r="D234" s="448"/>
      <c r="E234" s="448" t="s">
        <v>166</v>
      </c>
      <c r="F234" s="449"/>
      <c r="G234" s="491">
        <f>SUM(G197:G233)</f>
        <v>5183.0300000000007</v>
      </c>
    </row>
    <row r="235" spans="2:15" ht="13" hidden="1">
      <c r="C235" s="264"/>
      <c r="D235" s="448"/>
      <c r="E235" s="448"/>
      <c r="F235" s="449"/>
      <c r="G235" s="491"/>
    </row>
    <row r="236" spans="2:15" ht="13" hidden="1">
      <c r="C236" s="264"/>
      <c r="D236" s="450"/>
      <c r="E236" s="448"/>
      <c r="F236" s="449"/>
      <c r="G236" s="491"/>
    </row>
    <row r="237" spans="2:15" hidden="1">
      <c r="C237" s="264"/>
      <c r="D237" s="450"/>
      <c r="E237" s="446" t="s">
        <v>167</v>
      </c>
      <c r="F237" s="446"/>
      <c r="G237" s="492">
        <v>0</v>
      </c>
    </row>
    <row r="238" spans="2:15" hidden="1">
      <c r="C238" s="264"/>
      <c r="D238" s="448"/>
      <c r="E238" s="493" t="s">
        <v>168</v>
      </c>
      <c r="F238" s="451"/>
      <c r="G238" s="492">
        <f>+G234-G237</f>
        <v>5183.0300000000007</v>
      </c>
    </row>
    <row r="239" spans="2:15" hidden="1">
      <c r="C239" s="264"/>
      <c r="D239" s="495"/>
      <c r="E239" s="502"/>
      <c r="F239" s="503"/>
      <c r="G239" s="497"/>
    </row>
    <row r="240" spans="2:15" ht="13" hidden="1">
      <c r="C240" s="264"/>
      <c r="D240" s="495"/>
      <c r="E240" s="495" t="s">
        <v>388</v>
      </c>
      <c r="F240" s="504">
        <f>+Calculo!J11</f>
        <v>0.15</v>
      </c>
      <c r="G240" s="497">
        <f>G238*F240</f>
        <v>777.45450000000005</v>
      </c>
    </row>
    <row r="241" spans="2:7" ht="13" hidden="1">
      <c r="C241" s="264"/>
      <c r="D241" s="495"/>
      <c r="E241" s="495"/>
      <c r="F241" s="496"/>
      <c r="G241" s="497"/>
    </row>
    <row r="242" spans="2:7" ht="13" hidden="1">
      <c r="C242" s="264"/>
      <c r="D242" s="495"/>
      <c r="E242" s="496" t="s">
        <v>170</v>
      </c>
      <c r="F242" s="496" t="str">
        <f>+Calculo!E81</f>
        <v>Franquicia</v>
      </c>
      <c r="G242" s="498">
        <f>G238+G240</f>
        <v>5960.4845000000005</v>
      </c>
    </row>
    <row r="243" spans="2:7" ht="18" hidden="1">
      <c r="C243" s="118"/>
      <c r="D243" s="488"/>
      <c r="E243" s="499"/>
      <c r="F243" s="499"/>
      <c r="G243" s="505"/>
    </row>
    <row r="244" spans="2:7" ht="15.5" hidden="1">
      <c r="C244" s="118"/>
      <c r="D244" s="190"/>
      <c r="E244" s="177"/>
      <c r="F244" s="177"/>
      <c r="G244" s="177"/>
    </row>
    <row r="245" spans="2:7" ht="15.5" hidden="1">
      <c r="C245" s="118"/>
      <c r="D245" s="509"/>
      <c r="E245" s="506"/>
      <c r="F245" s="510"/>
      <c r="G245" s="511"/>
    </row>
    <row r="246" spans="2:7" ht="15.5" hidden="1">
      <c r="B246" s="342" t="s">
        <v>171</v>
      </c>
      <c r="C246" s="183"/>
      <c r="D246" s="177"/>
      <c r="E246" s="190"/>
      <c r="F246" s="191"/>
      <c r="G246" s="138"/>
    </row>
    <row r="247" spans="2:7" ht="15.5" hidden="1">
      <c r="C247" s="183"/>
      <c r="D247" s="177"/>
      <c r="E247" s="190"/>
      <c r="F247" s="190"/>
    </row>
    <row r="248" spans="2:7" ht="15.5" hidden="1">
      <c r="B248" s="109" t="s">
        <v>172</v>
      </c>
      <c r="D248" s="109"/>
      <c r="E248" s="190"/>
      <c r="F248" s="191"/>
      <c r="G248" s="138"/>
    </row>
    <row r="249" spans="2:7" ht="15.5" hidden="1">
      <c r="B249" s="177"/>
      <c r="C249" s="343"/>
      <c r="D249" s="177"/>
      <c r="E249" s="190"/>
      <c r="F249" s="191"/>
      <c r="G249" s="138"/>
    </row>
    <row r="250" spans="2:7" ht="15.5" hidden="1">
      <c r="B250" s="177"/>
      <c r="C250" s="343"/>
      <c r="D250" s="177"/>
      <c r="E250" s="190"/>
      <c r="F250" s="191"/>
      <c r="G250" s="138"/>
    </row>
    <row r="251" spans="2:7" ht="15.5" hidden="1">
      <c r="C251" s="265"/>
      <c r="D251" s="104"/>
      <c r="E251" s="125"/>
      <c r="F251" s="143"/>
      <c r="G251" s="104"/>
    </row>
    <row r="252" spans="2:7" ht="15.5" hidden="1">
      <c r="C252" s="118"/>
      <c r="E252" s="125"/>
      <c r="F252" s="143"/>
      <c r="G252" s="104"/>
    </row>
    <row r="253" spans="2:7" ht="15.5" hidden="1">
      <c r="B253" s="125" t="s">
        <v>173</v>
      </c>
      <c r="E253" s="144"/>
      <c r="F253" s="145"/>
      <c r="G253" s="138"/>
    </row>
    <row r="254" spans="2:7" ht="15.5" hidden="1">
      <c r="E254" s="144"/>
      <c r="F254" s="145"/>
      <c r="G254" s="138"/>
    </row>
    <row r="255" spans="2:7" ht="15.5" hidden="1">
      <c r="B255" s="107" t="str">
        <f>+Ingresar!D35</f>
        <v>Gutierrez Diego</v>
      </c>
      <c r="C255" s="266"/>
      <c r="E255" s="144"/>
      <c r="F255" s="145"/>
    </row>
    <row r="256" spans="2:7" ht="15.5" hidden="1">
      <c r="B256" s="107" t="str">
        <f>+VLOOKUP(B83,'DATOS PARTIDA'!I3:K47,2,FALSE)</f>
        <v>diego.gutierrez@bekaert.com</v>
      </c>
      <c r="C256" s="266"/>
      <c r="D256" s="133" t="str">
        <f>+VLOOKUP(B83,'DATOS PARTIDA'!I3:K47,3,FALSE)</f>
        <v>+593 993363971</v>
      </c>
      <c r="E256" s="144"/>
      <c r="F256" s="145"/>
      <c r="G256" s="595" t="str">
        <f>+CP_2026!A5</f>
        <v>LISTA DE PRECIOS 
VIGENTE  AGOSTO DE 2026</v>
      </c>
    </row>
    <row r="257" spans="2:15" ht="15.5" hidden="1">
      <c r="C257" s="266"/>
      <c r="E257" s="144"/>
      <c r="F257" s="145"/>
      <c r="G257" s="595"/>
    </row>
    <row r="258" spans="2:15" ht="15.5" hidden="1">
      <c r="B258" s="144" t="s">
        <v>215</v>
      </c>
      <c r="E258" s="144"/>
      <c r="G258" s="595"/>
    </row>
    <row r="259" spans="2:15" s="99" customFormat="1" ht="18" hidden="1">
      <c r="B259" s="592" t="s">
        <v>248</v>
      </c>
      <c r="C259" s="592"/>
      <c r="D259" s="592"/>
      <c r="E259" s="592"/>
      <c r="F259" s="98"/>
      <c r="G259" s="98"/>
      <c r="O259" s="384"/>
    </row>
    <row r="260" spans="2:15" s="99" customFormat="1" ht="18.5" hidden="1" thickBot="1">
      <c r="B260" s="593" t="str">
        <f>+Ingresar!F4</f>
        <v>RECUBRIMIENTO: DUPLEX ( GALVANIZADO + POLIESTER )</v>
      </c>
      <c r="C260" s="594"/>
      <c r="D260" s="594"/>
      <c r="E260" s="594"/>
      <c r="F260" s="100"/>
      <c r="G260" s="100"/>
      <c r="O260" s="384"/>
    </row>
    <row r="261" spans="2:15" s="99" customFormat="1" ht="18.5" hidden="1" thickTop="1">
      <c r="B261" s="101"/>
      <c r="C261" s="101"/>
      <c r="D261" s="101"/>
      <c r="E261" s="101"/>
      <c r="F261" s="102"/>
      <c r="G261" s="102"/>
      <c r="O261" s="384"/>
    </row>
    <row r="262" spans="2:15" ht="14" hidden="1">
      <c r="B262" s="103" t="s">
        <v>144</v>
      </c>
      <c r="C262" s="136"/>
      <c r="D262" s="104"/>
      <c r="E262" s="105" t="s">
        <v>145</v>
      </c>
      <c r="F262" s="105"/>
    </row>
    <row r="263" spans="2:15" ht="13" hidden="1">
      <c r="B263" s="105" t="s">
        <v>113</v>
      </c>
      <c r="C263" s="136"/>
      <c r="D263" s="104"/>
      <c r="E263" s="105" t="s">
        <v>146</v>
      </c>
      <c r="F263" s="105"/>
      <c r="G263" s="108"/>
    </row>
    <row r="264" spans="2:15" ht="15.5" hidden="1">
      <c r="B264" s="109" t="s">
        <v>147</v>
      </c>
      <c r="E264" s="105" t="s">
        <v>148</v>
      </c>
      <c r="F264" s="313"/>
      <c r="G264" s="110"/>
    </row>
    <row r="265" spans="2:15" ht="15.5" hidden="1">
      <c r="B265" s="109" t="s">
        <v>149</v>
      </c>
      <c r="E265" s="105" t="s">
        <v>174</v>
      </c>
      <c r="F265" s="106"/>
    </row>
    <row r="266" spans="2:15" ht="15.5" hidden="1">
      <c r="B266" s="109" t="s">
        <v>150</v>
      </c>
      <c r="F266" s="106"/>
      <c r="G266" s="111" t="s">
        <v>151</v>
      </c>
    </row>
    <row r="267" spans="2:15" ht="16" hidden="1" thickBot="1">
      <c r="B267" s="112"/>
      <c r="C267" s="260"/>
      <c r="D267" s="113"/>
      <c r="E267" s="112"/>
      <c r="F267" s="114"/>
      <c r="G267" s="115" t="s">
        <v>152</v>
      </c>
    </row>
    <row r="268" spans="2:15" ht="16" hidden="1" thickTop="1">
      <c r="D268" s="106"/>
      <c r="G268" s="116"/>
    </row>
    <row r="269" spans="2:15" ht="15.5" hidden="1">
      <c r="B269" s="117" t="s">
        <v>153</v>
      </c>
      <c r="D269" s="118"/>
    </row>
    <row r="270" spans="2:15" ht="15.5" hidden="1">
      <c r="B270" s="117"/>
      <c r="D270" s="118"/>
      <c r="F270" s="119" t="s">
        <v>154</v>
      </c>
      <c r="G270" s="107" t="str">
        <f>+Ingresar!D12</f>
        <v>sangolqui</v>
      </c>
    </row>
    <row r="271" spans="2:15" hidden="1">
      <c r="B271" s="120" t="str">
        <f>+Ingresar!D8</f>
        <v>XXXXXXX</v>
      </c>
      <c r="C271" s="261"/>
      <c r="D271" s="120"/>
      <c r="F271" s="121" t="s">
        <v>155</v>
      </c>
      <c r="G271" s="122">
        <f>+Ingreso!D15</f>
        <v>44845</v>
      </c>
    </row>
    <row r="272" spans="2:15" hidden="1">
      <c r="B272" s="120" t="str">
        <f>+Ingresar!D9</f>
        <v>XXXXXXX</v>
      </c>
      <c r="C272" s="261"/>
      <c r="D272" s="120"/>
      <c r="F272" s="119" t="s">
        <v>156</v>
      </c>
      <c r="G272" s="146" t="str">
        <f>+Ingreso!D13</f>
        <v>2222222adas</v>
      </c>
    </row>
    <row r="273" spans="2:12" hidden="1">
      <c r="B273" s="120" t="str">
        <f>+Ingresar!D10</f>
        <v>Quito Norte</v>
      </c>
      <c r="C273" s="261"/>
      <c r="D273" s="120"/>
      <c r="F273" s="123" t="s">
        <v>157</v>
      </c>
      <c r="G273" s="119" t="str">
        <f>+Ingresar!D14</f>
        <v>123@gmail.com</v>
      </c>
    </row>
    <row r="274" spans="2:12" hidden="1">
      <c r="F274" s="123"/>
      <c r="G274" s="119"/>
    </row>
    <row r="275" spans="2:12" ht="16" hidden="1" thickBot="1">
      <c r="B275" s="112"/>
      <c r="C275" s="260"/>
      <c r="D275" s="113"/>
      <c r="E275" s="112"/>
      <c r="F275" s="114"/>
      <c r="G275" s="115" t="s">
        <v>152</v>
      </c>
    </row>
    <row r="276" spans="2:12" ht="16" hidden="1" thickTop="1">
      <c r="D276" s="106"/>
    </row>
    <row r="277" spans="2:12" ht="15.5" hidden="1">
      <c r="B277" s="125" t="s">
        <v>158</v>
      </c>
      <c r="D277" s="125"/>
      <c r="E277" s="124"/>
      <c r="F277" s="106"/>
      <c r="G277" s="106"/>
    </row>
    <row r="278" spans="2:12" ht="15.5" hidden="1">
      <c r="C278" s="262"/>
      <c r="D278" s="125"/>
      <c r="E278" s="124"/>
      <c r="F278" s="126"/>
      <c r="G278" s="126"/>
    </row>
    <row r="279" spans="2:12" hidden="1">
      <c r="B279" s="586" t="s">
        <v>159</v>
      </c>
      <c r="C279" s="588" t="s">
        <v>160</v>
      </c>
      <c r="D279" s="588" t="s">
        <v>161</v>
      </c>
      <c r="E279" s="590"/>
      <c r="F279" s="586" t="s">
        <v>162</v>
      </c>
      <c r="G279" s="586" t="s">
        <v>163</v>
      </c>
      <c r="K279" s="585" t="s">
        <v>131</v>
      </c>
      <c r="L279" s="585" t="s">
        <v>212</v>
      </c>
    </row>
    <row r="280" spans="2:12" hidden="1">
      <c r="B280" s="587"/>
      <c r="C280" s="589"/>
      <c r="D280" s="589"/>
      <c r="E280" s="591"/>
      <c r="F280" s="587"/>
      <c r="G280" s="587"/>
      <c r="K280" s="585"/>
      <c r="L280" s="585"/>
    </row>
    <row r="281" spans="2:12" hidden="1">
      <c r="B281" s="127"/>
      <c r="C281" s="203">
        <f>+Calculo!B101</f>
        <v>130</v>
      </c>
      <c r="D281" s="128" t="str">
        <f>+" CERCAS PRO "&amp;Ingresar!$C$4&amp;" "&amp;Ingresar!$D$27&amp;" h = "&amp;Ingresar!E26&amp;" GRIS "</f>
        <v xml:space="preserve"> CERCAS PRO INTRADOMICILIARIA VERDE h = 3 GRIS </v>
      </c>
      <c r="E281" s="129"/>
      <c r="F281" s="314"/>
      <c r="G281" s="129"/>
    </row>
    <row r="282" spans="2:12" hidden="1">
      <c r="B282" s="130"/>
      <c r="C282" s="263"/>
      <c r="D282" s="131"/>
      <c r="E282" s="132"/>
      <c r="F282" s="315" t="s">
        <v>164</v>
      </c>
      <c r="G282" s="316"/>
    </row>
    <row r="283" spans="2:12" hidden="1">
      <c r="B283" s="184">
        <f>+Calculo!J117</f>
        <v>270439</v>
      </c>
      <c r="C283" s="193">
        <f>+Calculo!B103</f>
        <v>56</v>
      </c>
      <c r="D283" s="227" t="str">
        <f>+Calculo!K117</f>
        <v>Pro Max Seguridad Kit Poste 100x50x2 3,60m GRIS</v>
      </c>
      <c r="E283" s="183"/>
      <c r="F283" s="441">
        <f>+Calculo!Q117</f>
        <v>87.87</v>
      </c>
      <c r="G283" s="441">
        <f t="shared" ref="G283:G288" si="9">IF(B283="","",F283*C283)</f>
        <v>4920.72</v>
      </c>
      <c r="K283" s="107">
        <f>+VLOOKUP(B283,CP_2026!$B$8:$L$110,3,0)</f>
        <v>18.399999999999999</v>
      </c>
      <c r="L283" s="107">
        <f>+K283*C283</f>
        <v>1030.3999999999999</v>
      </c>
    </row>
    <row r="284" spans="2:12" hidden="1">
      <c r="B284" s="184">
        <f>+Calculo!S117</f>
        <v>270440</v>
      </c>
      <c r="C284" s="193">
        <f>+Calculo!B104</f>
        <v>56</v>
      </c>
      <c r="D284" s="186" t="str">
        <f>+Calculo!T117</f>
        <v>Pro Max Seguridad Tapa PVC Gris 100x50x2 Bekaert</v>
      </c>
      <c r="E284" s="183"/>
      <c r="F284" s="441">
        <f>+Calculo!V117</f>
        <v>2.0499999999999998</v>
      </c>
      <c r="G284" s="441">
        <f t="shared" si="9"/>
        <v>114.79999999999998</v>
      </c>
      <c r="K284" s="107">
        <f>+VLOOKUP(B284,CP_2026!$B$8:$L$110,3,0)</f>
        <v>0.09</v>
      </c>
      <c r="L284" s="107">
        <f t="shared" ref="L284:L289" si="10">+K284*C284</f>
        <v>5.04</v>
      </c>
    </row>
    <row r="285" spans="2:12" hidden="1">
      <c r="B285" s="184">
        <f>+Calculo!A117</f>
        <v>270436</v>
      </c>
      <c r="C285" s="193">
        <f>+Calculo!B112</f>
        <v>55</v>
      </c>
      <c r="D285" s="186" t="str">
        <f>+Calculo!B117</f>
        <v>Pro Max Seguridad 3,00x2,4m GRIS</v>
      </c>
      <c r="E285" s="183"/>
      <c r="F285" s="441">
        <f>+Calculo!H117</f>
        <v>344.59</v>
      </c>
      <c r="G285" s="441">
        <f t="shared" si="9"/>
        <v>18952.449999999997</v>
      </c>
      <c r="K285" s="107">
        <f>+VLOOKUP(B285,CP_2026!$B$8:$L$110,3,0)</f>
        <v>70.319999999999993</v>
      </c>
      <c r="L285" s="107">
        <f t="shared" si="10"/>
        <v>3867.5999999999995</v>
      </c>
    </row>
    <row r="286" spans="2:12" hidden="1">
      <c r="B286" s="184">
        <f>+Calculo!AA117</f>
        <v>645392</v>
      </c>
      <c r="C286" s="193">
        <f>+Calculo!B105</f>
        <v>448</v>
      </c>
      <c r="D286" s="186" t="str">
        <f>+Calculo!AB117</f>
        <v>Pro Max Seguridad Fijación 40x40x11x3 paso 12,7 mm GRIS</v>
      </c>
      <c r="E286" s="183"/>
      <c r="F286" s="441">
        <f>+Calculo!AD117</f>
        <v>1.94</v>
      </c>
      <c r="G286" s="441">
        <f t="shared" si="9"/>
        <v>869.12</v>
      </c>
      <c r="K286" s="107">
        <f>+VLOOKUP(B286,CP_2026!$B$8:$L$110,3,0)</f>
        <v>0.04</v>
      </c>
      <c r="L286" s="107">
        <f t="shared" si="10"/>
        <v>17.920000000000002</v>
      </c>
    </row>
    <row r="287" spans="2:12" hidden="1">
      <c r="B287" s="184">
        <f>+Calculo!AG117</f>
        <v>645393</v>
      </c>
      <c r="C287" s="193">
        <f>+Calculo!B106</f>
        <v>448</v>
      </c>
      <c r="D287" s="186" t="str">
        <f>+Calculo!AH117</f>
        <v>Perno coche 1/4"X5" INOX 316 CHN</v>
      </c>
      <c r="E287" s="183"/>
      <c r="F287" s="441">
        <f>+Calculo!AJ117</f>
        <v>0.98</v>
      </c>
      <c r="G287" s="441">
        <f t="shared" si="9"/>
        <v>439.03999999999996</v>
      </c>
      <c r="K287" s="107">
        <f>+VLOOKUP(B287,CP_2026!$B$8:$L$110,3,0)</f>
        <v>0.04</v>
      </c>
      <c r="L287" s="107">
        <f t="shared" si="10"/>
        <v>17.920000000000002</v>
      </c>
    </row>
    <row r="288" spans="2:12" hidden="1">
      <c r="B288" s="184">
        <f>+Calculo!AM117</f>
        <v>270504</v>
      </c>
      <c r="C288" s="193">
        <f>+C287</f>
        <v>448</v>
      </c>
      <c r="D288" s="186" t="str">
        <f>+Calculo!AN117</f>
        <v>Tuerca Seg.Emb.Autor.INOX 1/4 X19mm</v>
      </c>
      <c r="E288" s="183"/>
      <c r="F288" s="441">
        <f>+Calculo!AP117</f>
        <v>2.12</v>
      </c>
      <c r="G288" s="441">
        <f t="shared" si="9"/>
        <v>949.76</v>
      </c>
      <c r="K288" s="107">
        <f>+VLOOKUP(B288,CP_2026!$B$8:$L$110,3,0)</f>
        <v>0.01</v>
      </c>
      <c r="L288" s="107">
        <f t="shared" si="10"/>
        <v>4.4800000000000004</v>
      </c>
    </row>
    <row r="289" spans="2:15" hidden="1">
      <c r="B289" s="184" t="str">
        <f>+IF(Calculo!E270="S",+Calculo!CA297," ")</f>
        <v xml:space="preserve"> </v>
      </c>
      <c r="C289" s="317" t="str">
        <f>IF(B289=" "," ",+C283*4)</f>
        <v xml:space="preserve"> </v>
      </c>
      <c r="D289" s="186" t="str">
        <f>IF(B289=" "," ",+Calculo!CB294)</f>
        <v xml:space="preserve"> </v>
      </c>
      <c r="E289" s="183"/>
      <c r="F289" s="441" t="str">
        <f>IF(B289=" "," ",+Calculo!CD297)</f>
        <v xml:space="preserve"> </v>
      </c>
      <c r="G289" s="441" t="str">
        <f>IF(B289=" "," ",IF(B289="","",F289*C289))</f>
        <v xml:space="preserve"> </v>
      </c>
      <c r="K289" s="107" t="e">
        <f>+VLOOKUP(B289,CP_2026!$B$8:$L$110,3,0)</f>
        <v>#N/A</v>
      </c>
      <c r="L289" s="107" t="e">
        <f t="shared" si="10"/>
        <v>#N/A</v>
      </c>
      <c r="N289" s="133"/>
    </row>
    <row r="290" spans="2:15" hidden="1">
      <c r="B290" s="181" t="str">
        <f>+IF(Calculo!P260="N",Calculo!AR294," ")</f>
        <v xml:space="preserve"> </v>
      </c>
      <c r="C290" s="317" t="str">
        <f>IF(B290=" "," ",+C284*4)</f>
        <v xml:space="preserve"> </v>
      </c>
      <c r="D290" s="186" t="str">
        <f>IF(B290=" "," ",Calculo!AS294)</f>
        <v xml:space="preserve"> </v>
      </c>
      <c r="E290" s="183"/>
      <c r="F290" s="441" t="str">
        <f>IF(B290=" "," ",Calculo!AU294)</f>
        <v xml:space="preserve"> </v>
      </c>
      <c r="G290" s="441" t="str">
        <f>IF(B290=" "," ",IF(B290="","",F290*C290))</f>
        <v xml:space="preserve"> </v>
      </c>
      <c r="K290" s="107" t="e">
        <f>+VLOOKUP(B290,CP_2026!$B$8:$L$110,3,0)</f>
        <v>#N/A</v>
      </c>
      <c r="L290" s="107" t="str">
        <f>+IF(B290=" "," ",K290*C290)</f>
        <v xml:space="preserve"> </v>
      </c>
      <c r="O290" s="467"/>
    </row>
    <row r="291" spans="2:15" hidden="1">
      <c r="B291" s="181"/>
      <c r="C291" s="317"/>
      <c r="D291" s="186"/>
      <c r="E291" s="183"/>
      <c r="F291" s="441"/>
      <c r="G291" s="441"/>
    </row>
    <row r="292" spans="2:15" hidden="1">
      <c r="B292" s="181" t="str">
        <f>+IF(Calculo!E271="S",Calculo!BL294," ")</f>
        <v xml:space="preserve"> </v>
      </c>
      <c r="C292" s="193" t="str">
        <f>IF(B292=" "," ",C283)</f>
        <v xml:space="preserve"> </v>
      </c>
      <c r="D292" s="178" t="str">
        <f>IF(B292=" "," ",Calculo!BM294)</f>
        <v xml:space="preserve"> </v>
      </c>
      <c r="E292" s="179"/>
      <c r="F292" s="441" t="str">
        <f>IF(B292=" "," ",Calculo!BO294)</f>
        <v xml:space="preserve"> </v>
      </c>
      <c r="G292" s="441" t="str">
        <f>IF(B292=" "," ",IF(B292="","",F292*C292))</f>
        <v xml:space="preserve"> </v>
      </c>
      <c r="K292" s="107" t="str">
        <f>+IF(B290=" "," ",VLOOKUP(B292,CP_2026!$B$28:$L$55,3,0))</f>
        <v xml:space="preserve"> </v>
      </c>
      <c r="L292" s="107" t="str">
        <f>IF(B290=" "," ",+K292*C292)</f>
        <v xml:space="preserve"> </v>
      </c>
    </row>
    <row r="293" spans="2:15" hidden="1">
      <c r="B293" s="181" t="str">
        <f>+IF(Calculo!E271="S",Calculo!BG294," ")</f>
        <v xml:space="preserve"> </v>
      </c>
      <c r="C293" s="193" t="str">
        <f>IF(B292=" "," ",C292*3)</f>
        <v xml:space="preserve"> </v>
      </c>
      <c r="D293" s="186" t="str">
        <f>IF(B293=" "," ",+Calculo!BH294)</f>
        <v xml:space="preserve"> </v>
      </c>
      <c r="E293" s="179"/>
      <c r="F293" s="441" t="str">
        <f>IF(B293=" "," ",Calculo!BJ294)</f>
        <v xml:space="preserve"> </v>
      </c>
      <c r="G293" s="441" t="str">
        <f>IF(B293=" "," ",IF(B293="","",F293*C293))</f>
        <v xml:space="preserve"> </v>
      </c>
      <c r="K293" s="107" t="str">
        <f>+IF(B290=" "," ",VLOOKUP(B293,CP_2026!$B$28:$L$55,3,0))</f>
        <v xml:space="preserve"> </v>
      </c>
      <c r="L293" s="107" t="str">
        <f>IF(B290=" "," ",+K293*C293)</f>
        <v xml:space="preserve"> </v>
      </c>
    </row>
    <row r="294" spans="2:15" hidden="1">
      <c r="B294" s="181"/>
      <c r="C294" s="193"/>
      <c r="D294" s="178"/>
      <c r="E294" s="179"/>
      <c r="F294" s="441"/>
      <c r="G294" s="441"/>
    </row>
    <row r="295" spans="2:15" hidden="1">
      <c r="B295" s="181"/>
      <c r="C295" s="317"/>
      <c r="D295" s="180"/>
      <c r="E295" s="179"/>
      <c r="F295" s="441"/>
      <c r="G295" s="441"/>
    </row>
    <row r="296" spans="2:15" hidden="1">
      <c r="B296" s="181"/>
      <c r="C296" s="319"/>
      <c r="D296" s="178"/>
      <c r="E296" s="179"/>
      <c r="F296" s="441"/>
      <c r="G296" s="441"/>
    </row>
    <row r="297" spans="2:15" hidden="1">
      <c r="B297" s="181"/>
      <c r="C297" s="317"/>
      <c r="D297" s="178"/>
      <c r="E297" s="179"/>
      <c r="F297" s="441"/>
      <c r="G297" s="441"/>
    </row>
    <row r="298" spans="2:15" hidden="1">
      <c r="B298" s="185"/>
      <c r="C298" s="317"/>
      <c r="D298" s="180"/>
      <c r="E298" s="179"/>
      <c r="F298" s="441"/>
      <c r="G298" s="441"/>
    </row>
    <row r="299" spans="2:15" hidden="1">
      <c r="B299" s="239"/>
      <c r="C299" s="320" t="s">
        <v>259</v>
      </c>
      <c r="D299" s="240"/>
      <c r="E299" s="241"/>
      <c r="F299" s="461"/>
      <c r="G299" s="462"/>
    </row>
    <row r="300" spans="2:15" hidden="1">
      <c r="B300" s="188">
        <f>+Calculo!AR117</f>
        <v>683471</v>
      </c>
      <c r="C300" s="311">
        <f>+Calculo!B111</f>
        <v>2</v>
      </c>
      <c r="D300" s="187" t="str">
        <f>+Calculo!AS117</f>
        <v>SPRAY GALV FRIO</v>
      </c>
      <c r="E300" s="135"/>
      <c r="F300" s="441">
        <f>+Calculo!AU117</f>
        <v>31.85</v>
      </c>
      <c r="G300" s="441">
        <f>IF(B300="","",F300*C300)</f>
        <v>63.7</v>
      </c>
      <c r="K300" s="107">
        <f>+VLOOKUP(B300,CP_2026!$B$8:$L$110,3,0)</f>
        <v>0.4</v>
      </c>
      <c r="L300" s="107">
        <f>+K300*C300</f>
        <v>0.8</v>
      </c>
    </row>
    <row r="301" spans="2:15" hidden="1">
      <c r="B301" s="188"/>
      <c r="C301" s="188"/>
      <c r="D301" s="187"/>
      <c r="E301" s="135"/>
      <c r="F301" s="441"/>
      <c r="G301" s="441"/>
      <c r="K301" s="107" t="e">
        <f>+VLOOKUP(B301,CP_2026!$B$8:$L$110,3,0)</f>
        <v>#N/A</v>
      </c>
      <c r="L301" s="107" t="e">
        <f>+K301*C301</f>
        <v>#N/A</v>
      </c>
    </row>
    <row r="302" spans="2:15" hidden="1">
      <c r="B302" s="189"/>
      <c r="C302" s="238"/>
      <c r="D302" s="218"/>
      <c r="E302" s="135"/>
      <c r="F302" s="441"/>
      <c r="G302" s="442"/>
      <c r="K302" s="107" t="e">
        <f>+VLOOKUP(B302,CP_2026!$B$8:$L$110,3,0)</f>
        <v>#N/A</v>
      </c>
    </row>
    <row r="303" spans="2:15" hidden="1">
      <c r="B303" s="188"/>
      <c r="C303" s="188"/>
      <c r="D303" s="187"/>
      <c r="E303" s="135"/>
      <c r="F303" s="441"/>
      <c r="G303" s="441"/>
      <c r="K303" s="107" t="e">
        <f>+VLOOKUP(B303,CP_2026!$B$8:$L$110,3,0)</f>
        <v>#N/A</v>
      </c>
      <c r="L303" s="107" t="e">
        <f>+K303*C303</f>
        <v>#N/A</v>
      </c>
    </row>
    <row r="304" spans="2:15" hidden="1">
      <c r="B304" s="188"/>
      <c r="C304" s="188"/>
      <c r="D304" s="187"/>
      <c r="E304" s="135"/>
      <c r="F304" s="441"/>
      <c r="G304" s="441"/>
      <c r="K304" s="107" t="e">
        <f>+VLOOKUP(B304,CP_2026!$B$8:$L$110,3,0)</f>
        <v>#N/A</v>
      </c>
      <c r="L304" s="107" t="e">
        <f>+K304*C304</f>
        <v>#N/A</v>
      </c>
    </row>
    <row r="305" spans="2:15" hidden="1">
      <c r="B305" s="189"/>
      <c r="C305" s="238"/>
      <c r="D305" s="218"/>
      <c r="E305" s="135"/>
      <c r="F305" s="441"/>
      <c r="G305" s="442"/>
      <c r="K305" s="107" t="e">
        <f>+VLOOKUP(B305,CP_2026!$B$8:$L$110,3,0)</f>
        <v>#N/A</v>
      </c>
    </row>
    <row r="306" spans="2:15" hidden="1">
      <c r="B306" s="188"/>
      <c r="C306" s="188"/>
      <c r="D306" s="187"/>
      <c r="E306" s="135"/>
      <c r="F306" s="441"/>
      <c r="G306" s="441"/>
      <c r="K306" s="107" t="e">
        <f>+VLOOKUP(B306,CP_2026!$B$8:$L$110,3,0)</f>
        <v>#N/A</v>
      </c>
      <c r="L306" s="107" t="e">
        <f>+K306*C306</f>
        <v>#N/A</v>
      </c>
    </row>
    <row r="307" spans="2:15" hidden="1">
      <c r="B307" s="189"/>
      <c r="C307" s="238"/>
      <c r="D307" s="218"/>
      <c r="E307" s="135"/>
      <c r="F307" s="441"/>
      <c r="G307" s="442"/>
      <c r="K307" s="107" t="e">
        <f>+VLOOKUP(B307,CP_2026!$B$8:$L$110,3,0)</f>
        <v>#N/A</v>
      </c>
    </row>
    <row r="308" spans="2:15" hidden="1">
      <c r="B308" s="189"/>
      <c r="C308" s="238"/>
      <c r="D308" s="218"/>
      <c r="E308" s="135"/>
      <c r="F308" s="441"/>
      <c r="G308" s="442"/>
      <c r="K308" s="107" t="e">
        <f>+VLOOKUP(B308,CP_2026!$B$8:$L$110,3,0)</f>
        <v>#N/A</v>
      </c>
    </row>
    <row r="309" spans="2:15" hidden="1">
      <c r="B309" s="239"/>
      <c r="C309" s="320" t="s">
        <v>385</v>
      </c>
      <c r="D309" s="240"/>
      <c r="E309" s="241"/>
      <c r="F309" s="461"/>
      <c r="G309" s="462"/>
      <c r="O309" s="468"/>
    </row>
    <row r="310" spans="2:15" hidden="1">
      <c r="B310" s="438" t="str">
        <f>++IF(O310="En blanco"," ",IF(Ingresar!$D$29="N"," ",+VLOOKUP(E310,CP_2026!$A$78:$L$87,2,TRUE)))</f>
        <v xml:space="preserve"> </v>
      </c>
      <c r="C310" s="270"/>
      <c r="D310" s="307"/>
      <c r="E310" s="464" t="e">
        <f>+MATCH(D310,CP_2026!$C$78:$C$87,0)</f>
        <v>#N/A</v>
      </c>
      <c r="F310" s="456" t="str">
        <f>IF(B310=" "," ",IF(Calculo!$E$10=Calculo!$I$3,+ROUND(H310*(1-Calculo!$J$3),2),+IF(Calculo!$E$10=Calculo!$I$4,+ROUND(H310*(1-Calculo!$J$4),2),+IF(Calculo!$E$10=Calculo!$I$5,+ROUND(H310*(1-Calculo!$J$5),2),+IF(Calculo!$E$10=Calculo!$I$6,+ROUND(H310*(1-Calculo!$J$6),2),+IF(Calculo!$E$10=Calculo!$I$7,+ROUND(H310*(1-Calculo!$J$7),2),+IF(Calculo!$E$10=Calculo!$I$8,+ROUND(H310*(1-Calculo!$J$8),2),H310)))))))</f>
        <v xml:space="preserve"> </v>
      </c>
      <c r="G310" s="457" t="str">
        <f>IF(B310=" "," ",IF(B310="","",F310*C310))</f>
        <v xml:space="preserve"> </v>
      </c>
      <c r="H310" s="107" t="str">
        <f>++IF(O310="En blanco"," ",IF(Ingresar!$D$29="N"," ",+VLOOKUP(E310,CP_2026!$A$78:$L$87,12,TRUE)))</f>
        <v xml:space="preserve"> </v>
      </c>
      <c r="K310" s="107" t="e">
        <f>+VLOOKUP(B310,CP_2026!$B$57:$L$77,3,0)</f>
        <v>#N/A</v>
      </c>
      <c r="L310" s="107" t="e">
        <f>+K310*C310</f>
        <v>#N/A</v>
      </c>
      <c r="O310" s="469" t="str">
        <f>IF(ISBLANK(C310),"En blanco","No está en blanco")</f>
        <v>En blanco</v>
      </c>
    </row>
    <row r="311" spans="2:15" hidden="1">
      <c r="B311" s="233" t="str">
        <f>++IF(O311="En blanco"," ",IF(Ingresar!$D$29="N"," ",+VLOOKUP(E311,CP_2026!$A$78:$L$87,2,TRUE)))</f>
        <v xml:space="preserve"> </v>
      </c>
      <c r="C311" s="257"/>
      <c r="D311" s="306"/>
      <c r="E311" s="465" t="e">
        <f>+MATCH(D311,CP_2026!$C$78:$C$87,0)</f>
        <v>#N/A</v>
      </c>
      <c r="F311" s="441" t="str">
        <f>IF(B311=" "," ",IF(Calculo!$E$10=Calculo!$I$3,+ROUND(H311*(1-Calculo!$J$3),2),+IF(Calculo!$E$10=Calculo!$I$4,+ROUND(H311*(1-Calculo!$J$4),2),+IF(Calculo!$E$10=Calculo!$I$5,+ROUND(H311*(1-Calculo!$J$5),2),+IF(Calculo!$E$10=Calculo!$I$6,+ROUND(H311*(1-Calculo!$J$6),2),+IF(Calculo!$E$10=Calculo!$I$7,+ROUND(H311*(1-Calculo!$J$7),2),+IF(Calculo!$E$10=Calculo!$I$8,+ROUND(H311*(1-Calculo!$J$8),2),H311)))))))</f>
        <v xml:space="preserve"> </v>
      </c>
      <c r="G311" s="442" t="str">
        <f>IF(B311=" "," ",F311*C311)</f>
        <v xml:space="preserve"> </v>
      </c>
      <c r="H311" s="107" t="str">
        <f>++IF(O311="En blanco"," ",IF(Ingresar!$D$29="N"," ",+VLOOKUP(E311,CP_2026!$A$78:$L$87,12,TRUE)))</f>
        <v xml:space="preserve"> </v>
      </c>
      <c r="K311" s="107" t="e">
        <f>+VLOOKUP(B311,CP_2026!$B$57:$L$77,3,0)</f>
        <v>#N/A</v>
      </c>
      <c r="L311" s="107" t="e">
        <f t="shared" ref="L311:L317" si="11">+K311*C311</f>
        <v>#N/A</v>
      </c>
      <c r="O311" s="469" t="str">
        <f t="shared" ref="O311:O317" si="12">IF(ISBLANK(C311),"En blanco","No está en blanco")</f>
        <v>En blanco</v>
      </c>
    </row>
    <row r="312" spans="2:15" hidden="1">
      <c r="B312" s="235" t="str">
        <f>++IF(O312="En blanco"," ",IF(Ingresar!$D$29="N"," ",+VLOOKUP(E312,CP_2026!$A$78:$L$87,2,TRUE)))</f>
        <v xml:space="preserve"> </v>
      </c>
      <c r="C312" s="258"/>
      <c r="D312" s="308"/>
      <c r="E312" s="466" t="e">
        <f>+MATCH(D312,CP_2026!$C$78:$C$87,0)</f>
        <v>#N/A</v>
      </c>
      <c r="F312" s="458" t="str">
        <f>IF(B312=" "," ",IF(Calculo!$E$10=Calculo!$I$3,+ROUND(H312*(1-Calculo!$J$3),2),+IF(Calculo!$E$10=Calculo!$I$4,+ROUND(H312*(1-Calculo!$J$4),2),+IF(Calculo!$E$10=Calculo!$I$5,+ROUND(H312*(1-Calculo!$J$5),2),+IF(Calculo!$E$10=Calculo!$I$6,+ROUND(H312*(1-Calculo!$J$6),2),+IF(Calculo!$E$10=Calculo!$I$7,+ROUND(H312*(1-Calculo!$J$7),2),+IF(Calculo!$E$10=Calculo!$I$8,+ROUND(H312*(1-Calculo!$J$8),2),H312)))))))</f>
        <v xml:space="preserve"> </v>
      </c>
      <c r="G312" s="459" t="str">
        <f>IF(B312=" "," ",F312*C312)</f>
        <v xml:space="preserve"> </v>
      </c>
      <c r="H312" s="107" t="str">
        <f>++IF(O312="En blanco"," ",IF(Ingresar!$D$29="N"," ",+VLOOKUP(E312,CP_2026!$A$78:$L$87,12,TRUE)))</f>
        <v xml:space="preserve"> </v>
      </c>
      <c r="K312" s="107" t="e">
        <f>+VLOOKUP(B312,CP_2026!$B$57:$L$77,3,0)</f>
        <v>#N/A</v>
      </c>
      <c r="L312" s="107" t="e">
        <f t="shared" si="11"/>
        <v>#N/A</v>
      </c>
      <c r="O312" s="469" t="str">
        <f t="shared" si="12"/>
        <v>En blanco</v>
      </c>
    </row>
    <row r="313" spans="2:15" hidden="1">
      <c r="B313" s="239"/>
      <c r="C313" s="320" t="s">
        <v>260</v>
      </c>
      <c r="D313" s="241"/>
      <c r="E313" s="289"/>
      <c r="F313" s="461"/>
      <c r="G313" s="462"/>
      <c r="O313" s="468"/>
    </row>
    <row r="314" spans="2:15" hidden="1">
      <c r="B314" s="438" t="str">
        <f>++IF(O314="En blanco"," ",IF(Ingresar!$D$29="N"," ",+VLOOKUP(E314,CP_2026!$A$78:$L$87,2,TRUE)))</f>
        <v xml:space="preserve"> </v>
      </c>
      <c r="C314" s="270"/>
      <c r="D314" s="307"/>
      <c r="E314" s="444" t="e">
        <f>+MATCH(D314,CP_2026!$C$78:$C$87,0)</f>
        <v>#N/A</v>
      </c>
      <c r="F314" s="456" t="str">
        <f>IF(B314=" "," ",IF(Calculo!$E$10=Calculo!$I$3,+ROUND(H314*(1-Calculo!$J$3),2),+IF(Calculo!$E$10=Calculo!$I$4,+ROUND(H314*(1-Calculo!$J$4),2),+IF(Calculo!$E$10=Calculo!$I$5,+ROUND(H314*(1-Calculo!$J$5),2),+IF(Calculo!$E$10=Calculo!$I$6,+ROUND(H314*(1-Calculo!$J$6),2),+IF(Calculo!$E$10=Calculo!$I$7,+ROUND(H314*(1-Calculo!$J$7),2),+IF(Calculo!$E$10=Calculo!$I$8,+ROUND(H314*(1-Calculo!$J$8),2),H314)))))))</f>
        <v xml:space="preserve"> </v>
      </c>
      <c r="G314" s="457" t="str">
        <f>IF(B314=" "," ",F314*C314)</f>
        <v xml:space="preserve"> </v>
      </c>
      <c r="H314" s="107" t="str">
        <f>++IF(O314="En blanco"," ",IF(Ingresar!$D$29="N"," ",+VLOOKUP(E314,CP_2026!$A$78:$L$87,12,TRUE)))</f>
        <v xml:space="preserve"> </v>
      </c>
      <c r="K314" s="107" t="e">
        <f>+VLOOKUP(B314,CP_2026!$B$57:$L$77,3,0)</f>
        <v>#N/A</v>
      </c>
      <c r="L314" s="107" t="e">
        <f t="shared" si="11"/>
        <v>#N/A</v>
      </c>
      <c r="O314" s="469" t="str">
        <f t="shared" si="12"/>
        <v>En blanco</v>
      </c>
    </row>
    <row r="315" spans="2:15" hidden="1">
      <c r="B315" s="233" t="str">
        <f>++IF(O315="En blanco"," ",IF(Ingresar!$D$29="N"," ",+VLOOKUP(E315,CP_2026!$A$78:$L$87,2,TRUE)))</f>
        <v xml:space="preserve"> </v>
      </c>
      <c r="C315" s="257"/>
      <c r="D315" s="306"/>
      <c r="E315" s="443" t="e">
        <f>+MATCH(D315,CP_2026!$C$78:$C$87,0)</f>
        <v>#N/A</v>
      </c>
      <c r="F315" s="441" t="str">
        <f>IF(B315=" "," ",IF(Calculo!$E$10=Calculo!$I$3,+ROUND(H315*(1-Calculo!$J$3),2),+IF(Calculo!$E$10=Calculo!$I$4,+ROUND(H315*(1-Calculo!$J$4),2),+IF(Calculo!$E$10=Calculo!$I$5,+ROUND(H315*(1-Calculo!$J$5),2),+IF(Calculo!$E$10=Calculo!$I$6,+ROUND(H315*(1-Calculo!$J$6),2),+IF(Calculo!$E$10=Calculo!$I$7,+ROUND(H315*(1-Calculo!$J$7),2),+IF(Calculo!$E$10=Calculo!$I$8,+ROUND(H315*(1-Calculo!$J$8),2),H315)))))))</f>
        <v xml:space="preserve"> </v>
      </c>
      <c r="G315" s="442" t="str">
        <f>IF(B315=" "," ",F315*C315)</f>
        <v xml:space="preserve"> </v>
      </c>
      <c r="H315" s="107" t="str">
        <f>++IF(O315="En blanco"," ",IF(Ingresar!$D$29="N"," ",+VLOOKUP(E315,CP_2026!$A$78:$L$87,12,TRUE)))</f>
        <v xml:space="preserve"> </v>
      </c>
      <c r="K315" s="107" t="e">
        <f>+VLOOKUP(B315,CP_2026!$B$57:$L$77,3,0)</f>
        <v>#N/A</v>
      </c>
      <c r="L315" s="107" t="e">
        <f t="shared" si="11"/>
        <v>#N/A</v>
      </c>
      <c r="O315" s="469" t="str">
        <f t="shared" si="12"/>
        <v>En blanco</v>
      </c>
    </row>
    <row r="316" spans="2:15" hidden="1">
      <c r="B316" s="233" t="str">
        <f>++IF(O316="En blanco"," ",IF(Ingresar!$D$29="N"," ",+VLOOKUP(E316,CP_2026!$A$78:$L$87,2,TRUE)))</f>
        <v xml:space="preserve"> </v>
      </c>
      <c r="C316" s="257"/>
      <c r="D316" s="306"/>
      <c r="E316" s="443" t="e">
        <f>+MATCH(D316,CP_2026!$C$78:$C$87,0)</f>
        <v>#N/A</v>
      </c>
      <c r="F316" s="441" t="str">
        <f>IF(B316=" "," ",IF(Calculo!$E$10=Calculo!$I$3,+ROUND(H316*(1-Calculo!$J$3),2),+IF(Calculo!$E$10=Calculo!$I$4,+ROUND(H316*(1-Calculo!$J$4),2),+IF(Calculo!$E$10=Calculo!$I$5,+ROUND(H316*(1-Calculo!$J$5),2),+IF(Calculo!$E$10=Calculo!$I$6,+ROUND(H316*(1-Calculo!$J$6),2),+IF(Calculo!$E$10=Calculo!$I$7,+ROUND(H316*(1-Calculo!$J$7),2),+IF(Calculo!$E$10=Calculo!$I$8,+ROUND(H316*(1-Calculo!$J$8),2),H316)))))))</f>
        <v xml:space="preserve"> </v>
      </c>
      <c r="G316" s="442" t="str">
        <f>IF(B316=" "," ",F316*C316)</f>
        <v xml:space="preserve"> </v>
      </c>
      <c r="H316" s="107" t="str">
        <f>++IF(O316="En blanco"," ",IF(Ingresar!$D$29="N"," ",+VLOOKUP(E316,CP_2026!$A$78:$L$87,12,TRUE)))</f>
        <v xml:space="preserve"> </v>
      </c>
      <c r="K316" s="107" t="e">
        <f>+VLOOKUP(B316,CP_2026!$B$57:$L$77,3,0)</f>
        <v>#N/A</v>
      </c>
      <c r="L316" s="107" t="e">
        <f t="shared" si="11"/>
        <v>#N/A</v>
      </c>
      <c r="O316" s="469" t="str">
        <f t="shared" si="12"/>
        <v>En blanco</v>
      </c>
    </row>
    <row r="317" spans="2:15" hidden="1">
      <c r="B317" s="235" t="str">
        <f>++IF(O317="En blanco"," ",IF(Ingresar!$D$29="N"," ",+VLOOKUP(E317,CP_2026!$A$78:$L$87,2,TRUE)))</f>
        <v xml:space="preserve"> </v>
      </c>
      <c r="C317" s="258"/>
      <c r="D317" s="308"/>
      <c r="E317" s="445" t="e">
        <f>+MATCH(D317,CP_2026!$C$78:$C$87,0)</f>
        <v>#N/A</v>
      </c>
      <c r="F317" s="458" t="str">
        <f>IF(B317=" "," ",IF(Calculo!$E$10=Calculo!$I$3,+ROUND(H317*(1-Calculo!$J$3),2),+IF(Calculo!$E$10=Calculo!$I$4,+ROUND(H317*(1-Calculo!$J$4),2),+IF(Calculo!$E$10=Calculo!$I$5,+ROUND(H317*(1-Calculo!$J$5),2),+IF(Calculo!$E$10=Calculo!$I$6,+ROUND(H317*(1-Calculo!$J$6),2),+IF(Calculo!$E$10=Calculo!$I$7,+ROUND(H317*(1-Calculo!$J$7),2),+IF(Calculo!$E$10=Calculo!$I$8,+ROUND(H317*(1-Calculo!$J$8),2),H317)))))))</f>
        <v xml:space="preserve"> </v>
      </c>
      <c r="G317" s="459" t="str">
        <f>IF(B317=" "," ",F317*C317)</f>
        <v xml:space="preserve"> </v>
      </c>
      <c r="H317" s="107" t="str">
        <f>++IF(O317="En blanco"," ",IF(Ingresar!$D$29="N"," ",+VLOOKUP(E317,CP_2026!$A$78:$L$87,12,TRUE)))</f>
        <v xml:space="preserve"> </v>
      </c>
      <c r="K317" s="107" t="e">
        <f>+VLOOKUP(B317,CP_2026!$B$57:$L$77,3,0)</f>
        <v>#N/A</v>
      </c>
      <c r="L317" s="107" t="e">
        <f t="shared" si="11"/>
        <v>#N/A</v>
      </c>
      <c r="O317" s="469" t="str">
        <f t="shared" si="12"/>
        <v>En blanco</v>
      </c>
    </row>
    <row r="318" spans="2:15" hidden="1">
      <c r="B318" s="134" t="s">
        <v>165</v>
      </c>
      <c r="C318" s="259" t="str">
        <f>+L318&amp;" kg "</f>
        <v xml:space="preserve">4944.16 kg </v>
      </c>
      <c r="D318" s="484"/>
      <c r="E318" s="485"/>
      <c r="F318" s="449"/>
      <c r="G318" s="451"/>
      <c r="L318" s="107">
        <f>+SUMIF(L283:L317,"&gt;0")</f>
        <v>4944.1599999999989</v>
      </c>
      <c r="O318" s="468"/>
    </row>
    <row r="319" spans="2:15" ht="13" hidden="1">
      <c r="C319" s="264"/>
      <c r="D319" s="448"/>
      <c r="E319" s="448" t="s">
        <v>166</v>
      </c>
      <c r="F319" s="449"/>
      <c r="G319" s="491">
        <f>SUM(G283:G318)</f>
        <v>26309.589999999997</v>
      </c>
      <c r="O319" s="468"/>
    </row>
    <row r="320" spans="2:15" ht="13" hidden="1">
      <c r="C320" s="264"/>
      <c r="D320" s="448"/>
      <c r="E320" s="448"/>
      <c r="F320" s="449"/>
      <c r="G320" s="491"/>
    </row>
    <row r="321" spans="2:7" ht="13" hidden="1">
      <c r="C321" s="264"/>
      <c r="D321" s="450"/>
      <c r="E321" s="448"/>
      <c r="F321" s="449"/>
      <c r="G321" s="491"/>
    </row>
    <row r="322" spans="2:7" hidden="1">
      <c r="C322" s="264"/>
      <c r="D322" s="450"/>
      <c r="E322" s="446" t="s">
        <v>167</v>
      </c>
      <c r="F322" s="446"/>
      <c r="G322" s="492">
        <v>0</v>
      </c>
    </row>
    <row r="323" spans="2:7" hidden="1">
      <c r="C323" s="264"/>
      <c r="D323" s="495"/>
      <c r="E323" s="502" t="s">
        <v>168</v>
      </c>
      <c r="F323" s="503"/>
      <c r="G323" s="497">
        <f>+G319-G322</f>
        <v>26309.589999999997</v>
      </c>
    </row>
    <row r="324" spans="2:7" hidden="1">
      <c r="C324" s="264"/>
      <c r="D324" s="495"/>
      <c r="E324" s="502"/>
      <c r="F324" s="503"/>
      <c r="G324" s="497"/>
    </row>
    <row r="325" spans="2:7" ht="13" hidden="1">
      <c r="C325" s="264"/>
      <c r="D325" s="495"/>
      <c r="E325" s="495" t="s">
        <v>388</v>
      </c>
      <c r="F325" s="504">
        <f>+Calculo!J11</f>
        <v>0.15</v>
      </c>
      <c r="G325" s="497">
        <f>G323*F325</f>
        <v>3946.4384999999993</v>
      </c>
    </row>
    <row r="326" spans="2:7" ht="13" hidden="1">
      <c r="C326" s="264"/>
      <c r="D326" s="495"/>
      <c r="E326" s="495"/>
      <c r="F326" s="496"/>
      <c r="G326" s="497"/>
    </row>
    <row r="327" spans="2:7" ht="13" hidden="1">
      <c r="C327" s="264"/>
      <c r="D327" s="495"/>
      <c r="E327" s="496" t="s">
        <v>170</v>
      </c>
      <c r="F327" s="496" t="str">
        <f>+Calculo!E106</f>
        <v>Franquicia</v>
      </c>
      <c r="G327" s="498">
        <f>G323+G325</f>
        <v>30256.028499999997</v>
      </c>
    </row>
    <row r="328" spans="2:7" ht="18" hidden="1">
      <c r="C328" s="118"/>
      <c r="D328" s="488"/>
      <c r="E328" s="499"/>
      <c r="F328" s="499"/>
      <c r="G328" s="505"/>
    </row>
    <row r="329" spans="2:7" ht="15.5" hidden="1">
      <c r="C329" s="118"/>
      <c r="D329" s="447"/>
      <c r="E329" s="460"/>
      <c r="F329" s="460"/>
      <c r="G329" s="460"/>
    </row>
    <row r="330" spans="2:7" ht="15.5" hidden="1">
      <c r="C330" s="118"/>
      <c r="D330" s="489"/>
      <c r="E330" s="490"/>
      <c r="F330" s="486"/>
      <c r="G330" s="487"/>
    </row>
    <row r="331" spans="2:7" ht="15.5" hidden="1">
      <c r="B331" s="342" t="s">
        <v>171</v>
      </c>
      <c r="C331" s="183"/>
      <c r="D331" s="177"/>
      <c r="E331" s="190"/>
      <c r="F331" s="191"/>
      <c r="G331" s="138"/>
    </row>
    <row r="332" spans="2:7" ht="15.5" hidden="1">
      <c r="C332" s="183"/>
      <c r="D332" s="177"/>
      <c r="E332" s="190"/>
      <c r="F332" s="190"/>
    </row>
    <row r="333" spans="2:7" ht="15.5" hidden="1">
      <c r="B333" s="109" t="s">
        <v>172</v>
      </c>
      <c r="D333" s="109"/>
      <c r="E333" s="190"/>
      <c r="F333" s="191"/>
      <c r="G333" s="138"/>
    </row>
    <row r="334" spans="2:7" ht="15.5" hidden="1">
      <c r="B334" s="177"/>
      <c r="C334" s="343"/>
      <c r="D334" s="177"/>
      <c r="E334" s="190"/>
      <c r="F334" s="191"/>
      <c r="G334" s="138"/>
    </row>
    <row r="335" spans="2:7" ht="15.5" hidden="1">
      <c r="B335" s="177"/>
      <c r="C335" s="343"/>
      <c r="D335" s="177"/>
      <c r="E335" s="190"/>
      <c r="F335" s="191"/>
      <c r="G335" s="138"/>
    </row>
    <row r="336" spans="2:7" ht="15.5" hidden="1">
      <c r="C336" s="265"/>
      <c r="D336" s="104"/>
      <c r="E336" s="125"/>
      <c r="F336" s="143"/>
      <c r="G336" s="104"/>
    </row>
    <row r="337" spans="2:7" ht="15.5" hidden="1">
      <c r="C337" s="118"/>
      <c r="E337" s="125"/>
      <c r="F337" s="143"/>
      <c r="G337" s="104"/>
    </row>
    <row r="338" spans="2:7" ht="15.5" hidden="1">
      <c r="B338" s="125" t="s">
        <v>173</v>
      </c>
      <c r="E338" s="144"/>
      <c r="F338" s="145"/>
      <c r="G338" s="138"/>
    </row>
    <row r="339" spans="2:7" ht="15.5" hidden="1">
      <c r="E339" s="144"/>
      <c r="F339" s="145"/>
      <c r="G339" s="138"/>
    </row>
    <row r="340" spans="2:7" ht="15.5" hidden="1">
      <c r="B340" s="107" t="str">
        <f>+Ingresar!D35</f>
        <v>Gutierrez Diego</v>
      </c>
      <c r="C340" s="266"/>
      <c r="E340" s="144"/>
      <c r="F340" s="145"/>
    </row>
    <row r="341" spans="2:7" ht="15.5" hidden="1">
      <c r="B341" s="107" t="str">
        <f>+VLOOKUP(B83,'DATOS PARTIDA'!I3:K47,2,FALSE)</f>
        <v>diego.gutierrez@bekaert.com</v>
      </c>
      <c r="C341" s="266"/>
      <c r="D341" s="133" t="str">
        <f>+VLOOKUP(B83,'DATOS PARTIDA'!I3:K47,3,FALSE)</f>
        <v>+593 993363971</v>
      </c>
      <c r="E341" s="144"/>
      <c r="F341" s="145"/>
      <c r="G341" s="595" t="str">
        <f>+CP_2026!A5</f>
        <v>LISTA DE PRECIOS 
VIGENTE  AGOSTO DE 2026</v>
      </c>
    </row>
    <row r="342" spans="2:7" ht="15.5" hidden="1">
      <c r="C342" s="266"/>
      <c r="E342" s="144"/>
      <c r="F342" s="145"/>
      <c r="G342" s="595"/>
    </row>
    <row r="343" spans="2:7" ht="15.5" hidden="1">
      <c r="B343" s="144" t="s">
        <v>215</v>
      </c>
      <c r="E343" s="144"/>
      <c r="G343" s="595"/>
    </row>
    <row r="344" spans="2:7" hidden="1"/>
  </sheetData>
  <sheetProtection sheet="1" objects="1" scenarios="1"/>
  <mergeCells count="44">
    <mergeCell ref="B87:E87"/>
    <mergeCell ref="B2:E2"/>
    <mergeCell ref="B3:E3"/>
    <mergeCell ref="B22:B23"/>
    <mergeCell ref="C22:C23"/>
    <mergeCell ref="D22:D23"/>
    <mergeCell ref="E22:E23"/>
    <mergeCell ref="F22:F23"/>
    <mergeCell ref="G22:G23"/>
    <mergeCell ref="K22:K23"/>
    <mergeCell ref="L22:L23"/>
    <mergeCell ref="G84:G86"/>
    <mergeCell ref="B174:E174"/>
    <mergeCell ref="B88:E88"/>
    <mergeCell ref="B107:B108"/>
    <mergeCell ref="C107:C108"/>
    <mergeCell ref="D107:D108"/>
    <mergeCell ref="E107:E108"/>
    <mergeCell ref="G107:G108"/>
    <mergeCell ref="K107:K108"/>
    <mergeCell ref="L107:L108"/>
    <mergeCell ref="G170:G172"/>
    <mergeCell ref="B173:E173"/>
    <mergeCell ref="F107:F108"/>
    <mergeCell ref="F279:F280"/>
    <mergeCell ref="B193:B194"/>
    <mergeCell ref="C193:C194"/>
    <mergeCell ref="D193:D194"/>
    <mergeCell ref="E193:E194"/>
    <mergeCell ref="F193:F194"/>
    <mergeCell ref="B259:E259"/>
    <mergeCell ref="B260:E260"/>
    <mergeCell ref="B279:B280"/>
    <mergeCell ref="C279:C280"/>
    <mergeCell ref="D279:D280"/>
    <mergeCell ref="E279:E280"/>
    <mergeCell ref="G279:G280"/>
    <mergeCell ref="K279:K280"/>
    <mergeCell ref="L279:L280"/>
    <mergeCell ref="G341:G343"/>
    <mergeCell ref="K193:K194"/>
    <mergeCell ref="L193:L194"/>
    <mergeCell ref="G256:G258"/>
    <mergeCell ref="G193:G194"/>
  </mergeCells>
  <dataValidations count="1">
    <dataValidation allowBlank="1" showInputMessage="1" showErrorMessage="1" sqref="B142" xr:uid="{38967CDF-761D-4419-905E-DEF1589EEB6F}"/>
  </dataValidations>
  <pageMargins left="0.70866141732283472" right="0.70866141732283472" top="0.74803149606299213" bottom="0.74803149606299213" header="0.31496062992125984" footer="0.31496062992125984"/>
  <pageSetup paperSize="9" scale="51" fitToHeight="4" orientation="portrait" r:id="rId1"/>
  <rowBreaks count="3" manualBreakCount="3">
    <brk id="86" max="6" man="1"/>
    <brk id="172" max="6" man="1"/>
    <brk id="258" max="6"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regresarmenuprincipalr">
                <anchor moveWithCells="1" sizeWithCells="1">
                  <from>
                    <xdr:col>6</xdr:col>
                    <xdr:colOff>469900</xdr:colOff>
                    <xdr:row>3</xdr:row>
                    <xdr:rowOff>158750</xdr:rowOff>
                  </from>
                  <to>
                    <xdr:col>6</xdr:col>
                    <xdr:colOff>1955800</xdr:colOff>
                    <xdr:row>5</xdr:row>
                    <xdr:rowOff>31750</xdr:rowOff>
                  </to>
                </anchor>
              </controlPr>
            </control>
          </mc:Choice>
        </mc:AlternateContent>
        <mc:AlternateContent xmlns:mc="http://schemas.openxmlformats.org/markup-compatibility/2006">
          <mc:Choice Requires="x14">
            <control shapeId="38914" r:id="rId5" name="Button 2">
              <controlPr defaultSize="0" print="0" autoFill="0" autoPict="0" macro="[0]!regresarmenuprincipalr">
                <anchor moveWithCells="1" sizeWithCells="1">
                  <from>
                    <xdr:col>6</xdr:col>
                    <xdr:colOff>177800</xdr:colOff>
                    <xdr:row>88</xdr:row>
                    <xdr:rowOff>177800</xdr:rowOff>
                  </from>
                  <to>
                    <xdr:col>6</xdr:col>
                    <xdr:colOff>1670050</xdr:colOff>
                    <xdr:row>90</xdr:row>
                    <xdr:rowOff>44450</xdr:rowOff>
                  </to>
                </anchor>
              </controlPr>
            </control>
          </mc:Choice>
        </mc:AlternateContent>
        <mc:AlternateContent xmlns:mc="http://schemas.openxmlformats.org/markup-compatibility/2006">
          <mc:Choice Requires="x14">
            <control shapeId="38915" r:id="rId6" name="Button 3">
              <controlPr defaultSize="0" print="0" autoFill="0" autoPict="0" macro="[0]!regresarmenuprincipalr">
                <anchor moveWithCells="1" sizeWithCells="1">
                  <from>
                    <xdr:col>6</xdr:col>
                    <xdr:colOff>317500</xdr:colOff>
                    <xdr:row>175</xdr:row>
                    <xdr:rowOff>0</xdr:rowOff>
                  </from>
                  <to>
                    <xdr:col>6</xdr:col>
                    <xdr:colOff>1828800</xdr:colOff>
                    <xdr:row>176</xdr:row>
                    <xdr:rowOff>88900</xdr:rowOff>
                  </to>
                </anchor>
              </controlPr>
            </control>
          </mc:Choice>
        </mc:AlternateContent>
        <mc:AlternateContent xmlns:mc="http://schemas.openxmlformats.org/markup-compatibility/2006">
          <mc:Choice Requires="x14">
            <control shapeId="38916" r:id="rId7" name="Button 4">
              <controlPr defaultSize="0" print="0" autoFill="0" autoPict="0" macro="[0]!regresarmenuprincipalr">
                <anchor moveWithCells="1" sizeWithCells="1">
                  <from>
                    <xdr:col>6</xdr:col>
                    <xdr:colOff>304800</xdr:colOff>
                    <xdr:row>260</xdr:row>
                    <xdr:rowOff>165100</xdr:rowOff>
                  </from>
                  <to>
                    <xdr:col>6</xdr:col>
                    <xdr:colOff>1797050</xdr:colOff>
                    <xdr:row>262</xdr:row>
                    <xdr:rowOff>38100</xdr:rowOff>
                  </to>
                </anchor>
              </controlPr>
            </control>
          </mc:Choice>
        </mc:AlternateContent>
        <mc:AlternateContent xmlns:mc="http://schemas.openxmlformats.org/markup-compatibility/2006">
          <mc:Choice Requires="x14">
            <control shapeId="38917" r:id="rId8" name="Button 5">
              <controlPr defaultSize="0" print="0" autoFill="0" autoPict="0" macro="[0]!IMPRIMIR2">
                <anchor moveWithCells="1" sizeWithCells="1">
                  <from>
                    <xdr:col>13</xdr:col>
                    <xdr:colOff>1098550</xdr:colOff>
                    <xdr:row>88</xdr:row>
                    <xdr:rowOff>88900</xdr:rowOff>
                  </from>
                  <to>
                    <xdr:col>15</xdr:col>
                    <xdr:colOff>755650</xdr:colOff>
                    <xdr:row>90</xdr:row>
                    <xdr:rowOff>63500</xdr:rowOff>
                  </to>
                </anchor>
              </controlPr>
            </control>
          </mc:Choice>
        </mc:AlternateContent>
        <mc:AlternateContent xmlns:mc="http://schemas.openxmlformats.org/markup-compatibility/2006">
          <mc:Choice Requires="x14">
            <control shapeId="38918" r:id="rId9" name="Button 6">
              <controlPr defaultSize="0" print="0" autoFill="0" autoPict="0" macro="[0]!IMPRIMIR">
                <anchor moveWithCells="1" sizeWithCells="1">
                  <from>
                    <xdr:col>13</xdr:col>
                    <xdr:colOff>1073150</xdr:colOff>
                    <xdr:row>3</xdr:row>
                    <xdr:rowOff>101600</xdr:rowOff>
                  </from>
                  <to>
                    <xdr:col>15</xdr:col>
                    <xdr:colOff>723900</xdr:colOff>
                    <xdr:row>5</xdr:row>
                    <xdr:rowOff>50800</xdr:rowOff>
                  </to>
                </anchor>
              </controlPr>
            </control>
          </mc:Choice>
        </mc:AlternateContent>
        <mc:AlternateContent xmlns:mc="http://schemas.openxmlformats.org/markup-compatibility/2006">
          <mc:Choice Requires="x14">
            <control shapeId="38919" r:id="rId10" name="Button 7">
              <controlPr defaultSize="0" print="0" autoFill="0" autoPict="0" macro="[0]!IMPRIMIR3">
                <anchor moveWithCells="1" sizeWithCells="1">
                  <from>
                    <xdr:col>13</xdr:col>
                    <xdr:colOff>876300</xdr:colOff>
                    <xdr:row>174</xdr:row>
                    <xdr:rowOff>190500</xdr:rowOff>
                  </from>
                  <to>
                    <xdr:col>15</xdr:col>
                    <xdr:colOff>527050</xdr:colOff>
                    <xdr:row>176</xdr:row>
                    <xdr:rowOff>146050</xdr:rowOff>
                  </to>
                </anchor>
              </controlPr>
            </control>
          </mc:Choice>
        </mc:AlternateContent>
        <mc:AlternateContent xmlns:mc="http://schemas.openxmlformats.org/markup-compatibility/2006">
          <mc:Choice Requires="x14">
            <control shapeId="38920" r:id="rId11" name="Button 8">
              <controlPr defaultSize="0" print="0" autoFill="0" autoPict="0" macro="[0]!IMPRIMIR4">
                <anchor moveWithCells="1" sizeWithCells="1">
                  <from>
                    <xdr:col>13</xdr:col>
                    <xdr:colOff>946150</xdr:colOff>
                    <xdr:row>260</xdr:row>
                    <xdr:rowOff>107950</xdr:rowOff>
                  </from>
                  <to>
                    <xdr:col>15</xdr:col>
                    <xdr:colOff>596900</xdr:colOff>
                    <xdr:row>262</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6249EC74-08AF-40C3-ABB9-B5DC64DE1507}">
          <x14:formula1>
            <xm:f>CP_2026!$C$67:$C$75</xm:f>
          </x14:formula1>
          <xm:sqref>D57:D60</xm:sqref>
        </x14:dataValidation>
        <x14:dataValidation type="list" allowBlank="1" showInputMessage="1" showErrorMessage="1" xr:uid="{1466C9FA-24A3-4F89-A8B9-B99F626C703D}">
          <x14:formula1>
            <xm:f>CP_2026!$C$78:$C$87</xm:f>
          </x14:formula1>
          <xm:sqref>D310:D312 D314:D317</xm:sqref>
        </x14:dataValidation>
        <x14:dataValidation type="list" allowBlank="1" showInputMessage="1" showErrorMessage="1" xr:uid="{11258D46-ACF1-41F5-AEA2-0C48E013C1BE}">
          <x14:formula1>
            <xm:f>CP_2026!$C$18:$C$25</xm:f>
          </x14:formula1>
          <xm:sqref>D139:D141 D143:D146</xm:sqref>
        </x14:dataValidation>
        <x14:dataValidation type="list" allowBlank="1" showInputMessage="1" showErrorMessage="1" xr:uid="{87851B6B-15B4-496B-B430-195D689B3A3A}">
          <x14:formula1>
            <xm:f>CP_2026!$C$55:$C$66</xm:f>
          </x14:formula1>
          <xm:sqref>D53:D55</xm:sqref>
        </x14:dataValidation>
        <x14:dataValidation type="list" allowBlank="1" showInputMessage="1" showErrorMessage="1" xr:uid="{BDF2826A-B36C-4871-BFB3-D5B18A3C8A30}">
          <x14:formula1>
            <xm:f>CP_2026!$C$9:$C$16</xm:f>
          </x14:formula1>
          <xm:sqref>D225:D227 D229:D232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8A776-550F-441B-960D-76EFE26E1DCE}">
  <sheetPr codeName="Hoja34"/>
  <dimension ref="B1:Q36"/>
  <sheetViews>
    <sheetView zoomScaleNormal="100" workbookViewId="0">
      <selection activeCell="H36" sqref="H36"/>
    </sheetView>
  </sheetViews>
  <sheetFormatPr baseColWidth="10" defaultColWidth="11.453125" defaultRowHeight="12.5"/>
  <cols>
    <col min="1" max="1" width="11.453125" style="272"/>
    <col min="2" max="2" width="13.54296875" style="272" customWidth="1"/>
    <col min="3" max="3" width="12" style="272" customWidth="1"/>
    <col min="4" max="4" width="20.453125" style="272" bestFit="1" customWidth="1"/>
    <col min="5" max="5" width="14.90625" style="272" customWidth="1"/>
    <col min="6" max="6" width="13.453125" style="272" bestFit="1" customWidth="1"/>
    <col min="7" max="7" width="11.6328125" style="272" customWidth="1"/>
    <col min="8" max="10" width="11.453125" style="272"/>
    <col min="11" max="11" width="4.08984375" style="272" customWidth="1"/>
    <col min="12" max="16384" width="11.453125" style="272"/>
  </cols>
  <sheetData>
    <row r="1" spans="2:17" ht="13">
      <c r="B1" s="597" t="s">
        <v>328</v>
      </c>
      <c r="C1" s="597"/>
      <c r="D1" s="597"/>
      <c r="E1" s="597"/>
      <c r="F1" s="597"/>
      <c r="G1" s="597"/>
    </row>
    <row r="3" spans="2:17" ht="27" customHeight="1">
      <c r="B3" s="273" t="s">
        <v>329</v>
      </c>
      <c r="C3" s="273" t="s">
        <v>330</v>
      </c>
      <c r="D3" s="273" t="s">
        <v>331</v>
      </c>
      <c r="E3" s="273" t="s">
        <v>332</v>
      </c>
      <c r="F3" s="273" t="s">
        <v>211</v>
      </c>
      <c r="G3" s="274" t="s">
        <v>333</v>
      </c>
    </row>
    <row r="5" spans="2:17" ht="14.5">
      <c r="B5" s="275" t="s">
        <v>100</v>
      </c>
      <c r="C5" s="275" t="s">
        <v>21</v>
      </c>
      <c r="D5" s="275">
        <v>1.1100000000000001</v>
      </c>
      <c r="E5" s="275" t="s">
        <v>334</v>
      </c>
      <c r="F5" s="275" t="s">
        <v>335</v>
      </c>
      <c r="G5" s="276">
        <v>0</v>
      </c>
    </row>
    <row r="6" spans="2:17" ht="14.5">
      <c r="B6" s="275" t="s">
        <v>101</v>
      </c>
      <c r="C6" s="275"/>
      <c r="D6" s="275">
        <v>2.08</v>
      </c>
      <c r="E6" s="275" t="s">
        <v>180</v>
      </c>
      <c r="F6" s="275" t="s">
        <v>336</v>
      </c>
      <c r="G6" s="276">
        <v>0.5</v>
      </c>
    </row>
    <row r="7" spans="2:17" ht="14.5">
      <c r="B7" s="275"/>
      <c r="C7" s="275"/>
      <c r="D7" s="275">
        <v>2.4</v>
      </c>
      <c r="E7" s="275"/>
      <c r="F7" s="277" t="s">
        <v>337</v>
      </c>
      <c r="G7" s="276">
        <v>1</v>
      </c>
    </row>
    <row r="8" spans="2:17">
      <c r="B8" s="275"/>
      <c r="C8" s="275"/>
      <c r="D8" s="275">
        <v>3.1</v>
      </c>
      <c r="E8" s="275"/>
      <c r="F8" s="277" t="s">
        <v>338</v>
      </c>
      <c r="G8" s="275"/>
    </row>
    <row r="9" spans="2:17">
      <c r="B9" s="275"/>
      <c r="C9" s="275"/>
      <c r="D9" s="275">
        <v>4.0999999999999996</v>
      </c>
      <c r="E9" s="275"/>
      <c r="F9" s="277"/>
      <c r="G9" s="275"/>
    </row>
    <row r="10" spans="2:17">
      <c r="B10" s="278"/>
      <c r="C10" s="278"/>
      <c r="D10" s="278"/>
      <c r="E10" s="278"/>
      <c r="F10" s="278"/>
      <c r="G10" s="278"/>
    </row>
    <row r="11" spans="2:17">
      <c r="B11" s="278"/>
      <c r="C11" s="278"/>
      <c r="D11" s="278"/>
      <c r="E11" s="278"/>
      <c r="F11" s="278"/>
      <c r="G11" s="278"/>
    </row>
    <row r="12" spans="2:17">
      <c r="B12" s="278"/>
      <c r="C12" s="278"/>
      <c r="D12" s="278"/>
      <c r="E12" s="278"/>
      <c r="F12" s="278"/>
      <c r="G12" s="278"/>
    </row>
    <row r="14" spans="2:17">
      <c r="B14" s="598" t="s">
        <v>329</v>
      </c>
      <c r="C14" s="598"/>
      <c r="D14" s="279" t="s">
        <v>339</v>
      </c>
      <c r="E14" s="599" t="str">
        <f>+E5</f>
        <v>PLINTO</v>
      </c>
      <c r="F14" s="599"/>
      <c r="G14" s="599"/>
      <c r="H14" s="599"/>
      <c r="I14" s="599"/>
      <c r="J14" s="599"/>
      <c r="L14" s="599" t="str">
        <f>+E6</f>
        <v>PLACA</v>
      </c>
      <c r="M14" s="599"/>
      <c r="N14" s="599"/>
      <c r="O14" s="599"/>
      <c r="P14" s="599"/>
      <c r="Q14" s="599"/>
    </row>
    <row r="15" spans="2:17">
      <c r="B15" s="598"/>
      <c r="C15" s="598"/>
      <c r="D15" s="280" t="str">
        <f>+G3</f>
        <v>LONGITUD INCLINADA</v>
      </c>
      <c r="E15" s="600">
        <f>+G5</f>
        <v>0</v>
      </c>
      <c r="F15" s="600"/>
      <c r="G15" s="600">
        <f>+G6</f>
        <v>0.5</v>
      </c>
      <c r="H15" s="600"/>
      <c r="I15" s="600">
        <f>+G7</f>
        <v>1</v>
      </c>
      <c r="J15" s="600"/>
      <c r="L15" s="600">
        <f>+G5</f>
        <v>0</v>
      </c>
      <c r="M15" s="600"/>
      <c r="N15" s="600">
        <f>+G6</f>
        <v>0.5</v>
      </c>
      <c r="O15" s="600"/>
      <c r="P15" s="600">
        <f>+G7</f>
        <v>1</v>
      </c>
      <c r="Q15" s="600"/>
    </row>
    <row r="16" spans="2:17">
      <c r="B16" s="598"/>
      <c r="C16" s="598"/>
      <c r="D16" s="280" t="str">
        <f>+F3</f>
        <v>PUAS</v>
      </c>
      <c r="E16" s="281" t="s">
        <v>340</v>
      </c>
      <c r="F16" s="282" t="s">
        <v>336</v>
      </c>
      <c r="G16" s="281" t="s">
        <v>335</v>
      </c>
      <c r="H16" s="282" t="s">
        <v>336</v>
      </c>
      <c r="I16" s="281" t="s">
        <v>335</v>
      </c>
      <c r="J16" s="282" t="s">
        <v>336</v>
      </c>
      <c r="L16" s="281" t="s">
        <v>335</v>
      </c>
      <c r="M16" s="282" t="s">
        <v>336</v>
      </c>
      <c r="N16" s="281" t="s">
        <v>335</v>
      </c>
      <c r="O16" s="282" t="s">
        <v>336</v>
      </c>
      <c r="P16" s="281" t="s">
        <v>335</v>
      </c>
      <c r="Q16" s="282" t="s">
        <v>336</v>
      </c>
    </row>
    <row r="17" spans="2:17">
      <c r="B17" s="596" t="str">
        <f>+B5&amp;" "&amp;C5&amp;" h "&amp;D5&amp;" m "</f>
        <v xml:space="preserve">PERIMETRAL VERDE h 1,11 m </v>
      </c>
      <c r="C17" s="596"/>
      <c r="D17" s="596"/>
      <c r="E17" s="283">
        <f>4465.8426/100</f>
        <v>44.658425999999999</v>
      </c>
      <c r="F17" s="284">
        <f>3562.6126/100</f>
        <v>35.626125999999999</v>
      </c>
      <c r="G17" s="285">
        <f>5568.7752/100</f>
        <v>55.687752000000003</v>
      </c>
      <c r="H17" s="285">
        <f>4222.8652/100</f>
        <v>42.228652000000004</v>
      </c>
      <c r="I17" s="285">
        <f>6614.9752/100</f>
        <v>66.149751999999992</v>
      </c>
      <c r="J17" s="285"/>
      <c r="L17" s="285">
        <f>4817.3/100</f>
        <v>48.173000000000002</v>
      </c>
      <c r="M17" s="285">
        <f>3914.07/100</f>
        <v>39.140700000000002</v>
      </c>
      <c r="N17" s="285">
        <f>6098.09/100</f>
        <v>60.980899999999998</v>
      </c>
      <c r="O17" s="285">
        <f>4752.18/100</f>
        <v>47.521800000000006</v>
      </c>
      <c r="P17" s="285">
        <f>7317.89/100</f>
        <v>73.178899999999999</v>
      </c>
      <c r="Q17" s="285"/>
    </row>
    <row r="18" spans="2:17">
      <c r="B18" s="596" t="str">
        <f>+B5&amp;" "&amp;C5&amp;" h "&amp;D6&amp;" m "</f>
        <v xml:space="preserve">PERIMETRAL VERDE h 2,08 m </v>
      </c>
      <c r="C18" s="596"/>
      <c r="D18" s="596"/>
      <c r="E18" s="283">
        <f>7035.4126/100</f>
        <v>70.354125999999994</v>
      </c>
      <c r="F18" s="284">
        <f>6132.1826/100</f>
        <v>61.321826000000001</v>
      </c>
      <c r="G18" s="285">
        <f>8515.7152/100</f>
        <v>85.157152000000011</v>
      </c>
      <c r="H18" s="285">
        <f>7169.8052/100</f>
        <v>71.698052000000004</v>
      </c>
      <c r="I18" s="285">
        <f>9921.3152/100</f>
        <v>99.213151999999994</v>
      </c>
      <c r="J18" s="285"/>
      <c r="L18" s="285">
        <f>7420.49/100</f>
        <v>74.204899999999995</v>
      </c>
      <c r="M18" s="285">
        <f>6517.26/100</f>
        <v>65.172600000000003</v>
      </c>
      <c r="N18" s="285">
        <f>9095.87/100</f>
        <v>90.958700000000007</v>
      </c>
      <c r="O18" s="285">
        <f>7749.96/100</f>
        <v>77.499600000000001</v>
      </c>
      <c r="P18" s="285">
        <f>10691.47/100</f>
        <v>106.9147</v>
      </c>
      <c r="Q18" s="285"/>
    </row>
    <row r="19" spans="2:17">
      <c r="B19" s="596" t="str">
        <f>+B5&amp;" "&amp;C5&amp;" h "&amp;D7&amp;" m "</f>
        <v xml:space="preserve">PERIMETRAL VERDE h 2,4 m </v>
      </c>
      <c r="C19" s="596"/>
      <c r="D19" s="596"/>
      <c r="E19" s="283">
        <f>8638.5726/100</f>
        <v>86.385725999999991</v>
      </c>
      <c r="F19" s="284">
        <f>7660.3126/100</f>
        <v>76.603126000000003</v>
      </c>
      <c r="G19" s="285">
        <f>10697.6352/100</f>
        <v>106.97635200000001</v>
      </c>
      <c r="H19" s="285">
        <f>9238.2652/100</f>
        <v>92.382651999999993</v>
      </c>
      <c r="I19" s="285">
        <f>12654.4352/100</f>
        <v>126.544352</v>
      </c>
      <c r="J19" s="285"/>
      <c r="L19" s="285">
        <f>8870.72/100</f>
        <v>88.7072</v>
      </c>
      <c r="M19" s="285">
        <f>7892.46/100</f>
        <v>78.924599999999998</v>
      </c>
      <c r="N19" s="285">
        <f>11046.53/100</f>
        <v>110.46530000000001</v>
      </c>
      <c r="O19" s="285">
        <f>9587.16/100</f>
        <v>95.871600000000001</v>
      </c>
      <c r="P19" s="285">
        <f>13118.73/100</f>
        <v>131.18729999999999</v>
      </c>
      <c r="Q19" s="285"/>
    </row>
    <row r="20" spans="2:17">
      <c r="B20" s="596" t="str">
        <f>+B5&amp;" "&amp;C5&amp;" h "&amp;D8&amp;" m "</f>
        <v xml:space="preserve">PERIMETRAL VERDE h 3,1 m </v>
      </c>
      <c r="C20" s="596"/>
      <c r="D20" s="596"/>
      <c r="E20" s="283">
        <f>10822.3426/100</f>
        <v>108.223426</v>
      </c>
      <c r="F20" s="284">
        <f>9844.0826/100</f>
        <v>98.440826000000001</v>
      </c>
      <c r="G20" s="285">
        <f>13094.9752/100</f>
        <v>130.94975200000002</v>
      </c>
      <c r="H20" s="285">
        <f>11635.6052/100</f>
        <v>116.35605200000001</v>
      </c>
      <c r="I20" s="285">
        <f>15255.1752/100</f>
        <v>152.55175199999999</v>
      </c>
      <c r="J20" s="285"/>
      <c r="L20" s="283"/>
      <c r="M20" s="284"/>
      <c r="N20" s="285"/>
      <c r="O20" s="285"/>
      <c r="P20" s="285"/>
      <c r="Q20" s="285"/>
    </row>
    <row r="21" spans="2:17">
      <c r="B21" s="596" t="str">
        <f>+B5&amp;" "&amp;C5&amp;" h "&amp;D9&amp;" m "</f>
        <v xml:space="preserve">PERIMETRAL VERDE h 4,1 m </v>
      </c>
      <c r="C21" s="596"/>
      <c r="D21" s="596"/>
      <c r="E21" s="283">
        <f>16151.6226/100</f>
        <v>161.51622600000002</v>
      </c>
      <c r="F21" s="284">
        <f>14457.0926/100</f>
        <v>144.57092599999999</v>
      </c>
      <c r="G21" s="285">
        <f>20215.1352/100</f>
        <v>202.151352</v>
      </c>
      <c r="H21" s="285">
        <f>17672.6252/100</f>
        <v>176.72625199999999</v>
      </c>
      <c r="I21" s="285">
        <f>24080.9352/100</f>
        <v>240.80935199999999</v>
      </c>
      <c r="J21" s="285"/>
      <c r="L21" s="283"/>
      <c r="M21" s="284"/>
      <c r="N21" s="285"/>
      <c r="O21" s="285"/>
      <c r="P21" s="285"/>
      <c r="Q21" s="285"/>
    </row>
    <row r="22" spans="2:17">
      <c r="B22" s="596" t="str">
        <f>+B6&amp;" "&amp;C5&amp;" h "&amp;D5&amp;" m "</f>
        <v xml:space="preserve">URBANA VERDE h 1,11 m </v>
      </c>
      <c r="C22" s="596"/>
      <c r="D22" s="596"/>
      <c r="E22" s="286"/>
      <c r="F22" s="286"/>
      <c r="G22" s="286"/>
      <c r="H22" s="286"/>
      <c r="I22" s="286"/>
      <c r="J22" s="286"/>
      <c r="L22" s="286"/>
      <c r="M22" s="286"/>
      <c r="N22" s="286"/>
      <c r="O22" s="286"/>
      <c r="P22" s="286"/>
      <c r="Q22" s="286"/>
    </row>
    <row r="23" spans="2:17">
      <c r="B23" s="596" t="str">
        <f>+B6&amp;" "&amp;C5&amp;" h "&amp;D6&amp;" m "</f>
        <v xml:space="preserve">URBANA VERDE h 2,08 m </v>
      </c>
      <c r="C23" s="596"/>
      <c r="D23" s="596"/>
      <c r="E23" s="286"/>
      <c r="F23" s="284">
        <f>5521.3926/100</f>
        <v>55.213926000000001</v>
      </c>
      <c r="G23" s="286"/>
      <c r="H23" s="284">
        <f>6634.8252/100</f>
        <v>66.348252000000002</v>
      </c>
      <c r="I23" s="286"/>
      <c r="J23" s="284">
        <f>7691.0252/100</f>
        <v>76.910252</v>
      </c>
      <c r="L23" s="286"/>
      <c r="M23" s="284">
        <f>5521.3926/100</f>
        <v>55.213926000000001</v>
      </c>
      <c r="N23" s="286"/>
      <c r="O23" s="284">
        <f>5521.3926/100</f>
        <v>55.213926000000001</v>
      </c>
      <c r="P23" s="286"/>
      <c r="Q23" s="284">
        <f>5521.3926/100</f>
        <v>55.213926000000001</v>
      </c>
    </row>
    <row r="24" spans="2:17">
      <c r="B24" s="596" t="str">
        <f>+B6&amp;" "&amp;C5&amp;" h "&amp;D7&amp;" m "</f>
        <v xml:space="preserve">URBANA VERDE h 2,4 m </v>
      </c>
      <c r="C24" s="596"/>
      <c r="D24" s="596"/>
      <c r="E24" s="286"/>
      <c r="F24" s="286"/>
      <c r="G24" s="286"/>
      <c r="H24" s="286"/>
      <c r="I24" s="286"/>
      <c r="J24" s="286"/>
      <c r="L24" s="286"/>
      <c r="M24" s="286"/>
      <c r="N24" s="286"/>
      <c r="O24" s="286"/>
      <c r="P24" s="286"/>
      <c r="Q24" s="286"/>
    </row>
    <row r="25" spans="2:17">
      <c r="B25" s="596" t="str">
        <f>+B6&amp;" "&amp;C5&amp;" h "&amp;D8&amp;" m "</f>
        <v xml:space="preserve">URBANA VERDE h 3,1 m </v>
      </c>
      <c r="C25" s="596"/>
      <c r="D25" s="596"/>
      <c r="E25" s="286"/>
      <c r="F25" s="286"/>
      <c r="G25" s="286"/>
      <c r="H25" s="286"/>
      <c r="I25" s="286"/>
      <c r="J25" s="286"/>
      <c r="L25" s="286"/>
      <c r="M25" s="286"/>
      <c r="N25" s="286"/>
      <c r="O25" s="286"/>
      <c r="P25" s="286"/>
      <c r="Q25" s="286"/>
    </row>
    <row r="26" spans="2:17">
      <c r="B26" s="596" t="str">
        <f>+B6&amp;" "&amp;C5&amp;" h "&amp;D9&amp;" m "</f>
        <v xml:space="preserve">URBANA VERDE h 4,1 m </v>
      </c>
      <c r="C26" s="596"/>
      <c r="D26" s="596"/>
      <c r="E26" s="286"/>
      <c r="F26" s="286"/>
      <c r="G26" s="286"/>
      <c r="H26" s="286"/>
      <c r="I26" s="286"/>
      <c r="J26" s="286"/>
      <c r="L26" s="286"/>
      <c r="M26" s="286"/>
      <c r="N26" s="286"/>
      <c r="O26" s="286"/>
      <c r="P26" s="286"/>
      <c r="Q26" s="286"/>
    </row>
    <row r="28" spans="2:17" ht="13.75" customHeight="1"/>
    <row r="33" spans="2:2" ht="13">
      <c r="B33" s="287" t="s">
        <v>341</v>
      </c>
    </row>
    <row r="34" spans="2:2">
      <c r="B34" s="288" t="s">
        <v>342</v>
      </c>
    </row>
    <row r="35" spans="2:2">
      <c r="B35" s="288" t="s">
        <v>343</v>
      </c>
    </row>
    <row r="36" spans="2:2">
      <c r="B36" s="288" t="s">
        <v>344</v>
      </c>
    </row>
  </sheetData>
  <mergeCells count="20">
    <mergeCell ref="B1:G1"/>
    <mergeCell ref="B14:C16"/>
    <mergeCell ref="E14:J14"/>
    <mergeCell ref="L14:Q14"/>
    <mergeCell ref="E15:F15"/>
    <mergeCell ref="G15:H15"/>
    <mergeCell ref="I15:J15"/>
    <mergeCell ref="L15:M15"/>
    <mergeCell ref="N15:O15"/>
    <mergeCell ref="P15:Q15"/>
    <mergeCell ref="B23:D23"/>
    <mergeCell ref="B24:D24"/>
    <mergeCell ref="B25:D25"/>
    <mergeCell ref="B26:D26"/>
    <mergeCell ref="B17:D17"/>
    <mergeCell ref="B18:D18"/>
    <mergeCell ref="B19:D19"/>
    <mergeCell ref="B20:D20"/>
    <mergeCell ref="B21:D21"/>
    <mergeCell ref="B22:D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anchor moveWithCells="1" sizeWithCells="1">
                  <from>
                    <xdr:col>2</xdr:col>
                    <xdr:colOff>406400</xdr:colOff>
                    <xdr:row>26</xdr:row>
                    <xdr:rowOff>158750</xdr:rowOff>
                  </from>
                  <to>
                    <xdr:col>3</xdr:col>
                    <xdr:colOff>463550</xdr:colOff>
                    <xdr:row>28</xdr:row>
                    <xdr:rowOff>152400</xdr:rowOff>
                  </to>
                </anchor>
              </controlPr>
            </control>
          </mc:Choice>
        </mc:AlternateContent>
        <mc:AlternateContent xmlns:mc="http://schemas.openxmlformats.org/markup-compatibility/2006">
          <mc:Choice Requires="x14">
            <control shapeId="15362" r:id="rId5" name="Button 2">
              <controlPr defaultSize="0" print="0" autoFill="0" autoPict="0">
                <anchor moveWithCells="1" sizeWithCells="1">
                  <from>
                    <xdr:col>1</xdr:col>
                    <xdr:colOff>0</xdr:colOff>
                    <xdr:row>26</xdr:row>
                    <xdr:rowOff>158750</xdr:rowOff>
                  </from>
                  <to>
                    <xdr:col>1</xdr:col>
                    <xdr:colOff>869950</xdr:colOff>
                    <xdr:row>28</xdr:row>
                    <xdr:rowOff>152400</xdr:rowOff>
                  </to>
                </anchor>
              </controlPr>
            </control>
          </mc:Choice>
        </mc:AlternateContent>
        <mc:AlternateContent xmlns:mc="http://schemas.openxmlformats.org/markup-compatibility/2006">
          <mc:Choice Requires="x14">
            <control shapeId="15367" r:id="rId6" name="Button 7">
              <controlPr defaultSize="0" print="0" autoFill="0" autoPict="0" macro="[0]!retornomenuprincipal">
                <anchor moveWithCells="1" sizeWithCells="1">
                  <from>
                    <xdr:col>3</xdr:col>
                    <xdr:colOff>901700</xdr:colOff>
                    <xdr:row>26</xdr:row>
                    <xdr:rowOff>152400</xdr:rowOff>
                  </from>
                  <to>
                    <xdr:col>4</xdr:col>
                    <xdr:colOff>958850</xdr:colOff>
                    <xdr:row>28</xdr:row>
                    <xdr:rowOff>158750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EE79C-8E46-42C5-97E1-1537CABCD064}">
  <sheetPr codeName="Hoja9">
    <tabColor rgb="FFFFFF00"/>
  </sheetPr>
  <dimension ref="B2:P344"/>
  <sheetViews>
    <sheetView showGridLines="0" view="pageBreakPreview" topLeftCell="A3" zoomScale="85" zoomScaleNormal="85" zoomScaleSheetLayoutView="85" workbookViewId="0">
      <selection activeCell="H5" sqref="H5"/>
    </sheetView>
  </sheetViews>
  <sheetFormatPr baseColWidth="10" defaultColWidth="11.453125" defaultRowHeight="12.5"/>
  <cols>
    <col min="1" max="1" width="11.453125" style="107"/>
    <col min="2" max="2" width="17.54296875" style="107" customWidth="1"/>
    <col min="3" max="3" width="16.6328125" style="259" customWidth="1"/>
    <col min="4" max="4" width="61.54296875" style="107" customWidth="1"/>
    <col min="5" max="5" width="11.08984375" style="107" customWidth="1"/>
    <col min="6" max="6" width="20.90625" style="107" customWidth="1"/>
    <col min="7" max="7" width="31.36328125" style="107" customWidth="1"/>
    <col min="8" max="8" width="9.453125" style="107" customWidth="1"/>
    <col min="9" max="9" width="2.90625" style="107" customWidth="1"/>
    <col min="10" max="10" width="3.54296875" style="107" customWidth="1"/>
    <col min="11" max="11" width="6.90625" style="107" customWidth="1"/>
    <col min="12" max="12" width="14.54296875" style="107" customWidth="1"/>
    <col min="13" max="13" width="11" style="107" customWidth="1"/>
    <col min="14" max="14" width="16.54296875" style="107" bestFit="1" customWidth="1"/>
    <col min="15" max="15" width="9.1796875" style="383" customWidth="1"/>
    <col min="16" max="16" width="11.453125" style="107" customWidth="1"/>
    <col min="17" max="17" width="12.453125" style="107" customWidth="1"/>
    <col min="18" max="18" width="18.453125" style="107" bestFit="1" customWidth="1"/>
    <col min="19" max="16384" width="11.453125" style="107"/>
  </cols>
  <sheetData>
    <row r="2" spans="2:15" s="99" customFormat="1" ht="18">
      <c r="B2" s="592" t="s">
        <v>216</v>
      </c>
      <c r="C2" s="592"/>
      <c r="D2" s="592"/>
      <c r="E2" s="592"/>
      <c r="F2" s="98"/>
      <c r="G2" s="98"/>
      <c r="O2" s="384"/>
    </row>
    <row r="3" spans="2:15" s="99" customFormat="1" ht="18.5" thickBot="1">
      <c r="B3" s="593" t="str">
        <f>+Ingreso!F4</f>
        <v>RECUBRIMIENTO: DUPLEX ( GALVANIZADO + POLIESTER )</v>
      </c>
      <c r="C3" s="594"/>
      <c r="D3" s="594"/>
      <c r="E3" s="594"/>
      <c r="F3" s="100"/>
      <c r="G3" s="100"/>
      <c r="O3" s="384"/>
    </row>
    <row r="4" spans="2:15" s="99" customFormat="1" ht="18.5" thickTop="1">
      <c r="B4" s="101"/>
      <c r="C4" s="101"/>
      <c r="D4" s="101"/>
      <c r="E4" s="101"/>
      <c r="F4" s="102"/>
      <c r="G4" s="102"/>
      <c r="O4" s="384"/>
    </row>
    <row r="5" spans="2:15" ht="14">
      <c r="B5" s="103" t="s">
        <v>144</v>
      </c>
      <c r="C5" s="136"/>
      <c r="D5" s="104"/>
      <c r="E5" s="105" t="s">
        <v>145</v>
      </c>
      <c r="F5" s="105"/>
    </row>
    <row r="6" spans="2:15" ht="13">
      <c r="B6" s="105" t="s">
        <v>113</v>
      </c>
      <c r="C6" s="136"/>
      <c r="D6" s="104"/>
      <c r="E6" s="105" t="s">
        <v>146</v>
      </c>
      <c r="F6" s="105"/>
      <c r="G6" s="108"/>
    </row>
    <row r="7" spans="2:15" ht="15.5">
      <c r="B7" s="109" t="s">
        <v>147</v>
      </c>
      <c r="E7" s="105" t="s">
        <v>148</v>
      </c>
      <c r="F7" s="313"/>
      <c r="G7" s="110"/>
    </row>
    <row r="8" spans="2:15" ht="15.5">
      <c r="B8" s="109" t="s">
        <v>149</v>
      </c>
      <c r="E8" s="105" t="s">
        <v>174</v>
      </c>
      <c r="F8" s="106"/>
    </row>
    <row r="9" spans="2:15" ht="15.5">
      <c r="B9" s="109" t="s">
        <v>150</v>
      </c>
      <c r="F9" s="106"/>
      <c r="G9" s="111" t="s">
        <v>151</v>
      </c>
    </row>
    <row r="10" spans="2:15" ht="16" thickBot="1">
      <c r="B10" s="112"/>
      <c r="C10" s="260"/>
      <c r="D10" s="113"/>
      <c r="E10" s="112"/>
      <c r="F10" s="114"/>
      <c r="G10" s="115" t="s">
        <v>152</v>
      </c>
    </row>
    <row r="11" spans="2:15" ht="16" thickTop="1">
      <c r="D11" s="106"/>
      <c r="G11" s="116"/>
    </row>
    <row r="12" spans="2:15" ht="15.5">
      <c r="B12" s="117" t="s">
        <v>153</v>
      </c>
      <c r="D12" s="118"/>
    </row>
    <row r="13" spans="2:15" ht="15.5">
      <c r="B13" s="117"/>
      <c r="D13" s="118"/>
      <c r="F13" s="119" t="s">
        <v>154</v>
      </c>
      <c r="G13" s="107" t="str">
        <f>+Ingreso!D12</f>
        <v>sangolqui</v>
      </c>
    </row>
    <row r="14" spans="2:15">
      <c r="B14" s="120" t="str">
        <f>+Ingreso!D8</f>
        <v>XXXXXXX</v>
      </c>
      <c r="C14" s="261"/>
      <c r="D14" s="120"/>
      <c r="F14" s="121" t="s">
        <v>155</v>
      </c>
      <c r="G14" s="122">
        <f>+Ingreso!D15</f>
        <v>44845</v>
      </c>
    </row>
    <row r="15" spans="2:15">
      <c r="B15" s="120" t="str">
        <f>+Ingreso!D9</f>
        <v>eqwqe</v>
      </c>
      <c r="C15" s="261"/>
      <c r="D15" s="120"/>
      <c r="F15" s="119" t="s">
        <v>156</v>
      </c>
      <c r="G15" s="146" t="str">
        <f>+Ingreso!D13</f>
        <v>2222222adas</v>
      </c>
    </row>
    <row r="16" spans="2:15">
      <c r="B16" s="120" t="str">
        <f>+Ingreso!D10</f>
        <v>Quito Norte</v>
      </c>
      <c r="C16" s="261"/>
      <c r="D16" s="120"/>
      <c r="F16" s="123" t="s">
        <v>157</v>
      </c>
      <c r="G16" s="119" t="str">
        <f>+Ingreso!D14</f>
        <v>123@gmail.com</v>
      </c>
    </row>
    <row r="17" spans="2:14">
      <c r="F17" s="123"/>
      <c r="G17" s="119"/>
    </row>
    <row r="18" spans="2:14" ht="16" thickBot="1">
      <c r="B18" s="112"/>
      <c r="C18" s="260"/>
      <c r="D18" s="113"/>
      <c r="E18" s="112"/>
      <c r="F18" s="114"/>
      <c r="G18" s="115" t="s">
        <v>152</v>
      </c>
    </row>
    <row r="19" spans="2:14" ht="16" thickTop="1">
      <c r="D19" s="106"/>
    </row>
    <row r="20" spans="2:14" ht="15.5">
      <c r="B20" s="125" t="s">
        <v>158</v>
      </c>
      <c r="D20" s="125"/>
      <c r="E20" s="124"/>
      <c r="F20" s="106"/>
      <c r="G20" s="106"/>
    </row>
    <row r="21" spans="2:14" ht="15.5">
      <c r="C21" s="262"/>
      <c r="D21" s="125"/>
      <c r="E21" s="124"/>
      <c r="F21" s="126"/>
      <c r="G21" s="126"/>
    </row>
    <row r="22" spans="2:14">
      <c r="B22" s="586" t="s">
        <v>159</v>
      </c>
      <c r="C22" s="588" t="s">
        <v>160</v>
      </c>
      <c r="D22" s="588" t="s">
        <v>161</v>
      </c>
      <c r="E22" s="590"/>
      <c r="F22" s="586" t="s">
        <v>162</v>
      </c>
      <c r="G22" s="586" t="s">
        <v>163</v>
      </c>
      <c r="K22" s="585" t="s">
        <v>131</v>
      </c>
      <c r="L22" s="585" t="s">
        <v>212</v>
      </c>
    </row>
    <row r="23" spans="2:14">
      <c r="B23" s="587"/>
      <c r="C23" s="589"/>
      <c r="D23" s="589"/>
      <c r="E23" s="591"/>
      <c r="F23" s="587"/>
      <c r="G23" s="587"/>
      <c r="K23" s="585"/>
      <c r="L23" s="585"/>
    </row>
    <row r="24" spans="2:14">
      <c r="B24" s="127"/>
      <c r="C24" s="203">
        <f>+Ingreso!D22</f>
        <v>130</v>
      </c>
      <c r="D24" s="128" t="str">
        <f>+" CERCAS PRO "&amp;Ingreso!$C$4&amp;" "&amp;Ingreso!$D$27&amp;" h ="&amp;Ingreso!$D$26&amp;" Inclinación "&amp;Ingreso!$D$25*100&amp;" % "</f>
        <v xml:space="preserve"> CERCAS PRO PERIMETRAL VERDE h =2.08 Inclinación 0 % </v>
      </c>
      <c r="E24" s="129"/>
      <c r="F24" s="314"/>
      <c r="G24" s="129"/>
    </row>
    <row r="25" spans="2:14">
      <c r="B25" s="130"/>
      <c r="C25" s="263"/>
      <c r="D25" s="131" t="str">
        <f>IF(Ingreso!$D$24="s","CON 3 HILERAS DE ALAMBRE DE PUAS","SIN ALAMBRES DE PUAS")</f>
        <v>SIN ALAMBRES DE PUAS</v>
      </c>
      <c r="E25" s="132"/>
      <c r="F25" s="315" t="s">
        <v>164</v>
      </c>
      <c r="G25" s="316"/>
    </row>
    <row r="26" spans="2:14">
      <c r="B26" s="181">
        <f>+IF(Calculo!E12="N",Calculo!J36,Calculo!S36)</f>
        <v>270876</v>
      </c>
      <c r="C26" s="317">
        <f>+Calculo!B6</f>
        <v>53</v>
      </c>
      <c r="D26" s="182" t="str">
        <f>+IF(Calculo!E12="N",Calculo!K36,Calculo!T36)</f>
        <v>PostePro 60x60x1.5x2.60m PLINTO/VER</v>
      </c>
      <c r="E26" s="183"/>
      <c r="F26" s="318">
        <f>+IF(Calculo!E12="N",Calculo!Q36,Calculo!Y36)</f>
        <v>30.19</v>
      </c>
      <c r="G26" s="318">
        <f t="shared" ref="G26:G31" si="0">IF(B26="","",F26*C26)</f>
        <v>1600.0700000000002</v>
      </c>
      <c r="K26" s="107">
        <f>+VLOOKUP(B26,CP_2026!$B$28:$L$55,3,0)</f>
        <v>7.3</v>
      </c>
      <c r="L26" s="107">
        <f t="shared" ref="L26:L32" si="1">+K26*C26</f>
        <v>386.9</v>
      </c>
    </row>
    <row r="27" spans="2:14">
      <c r="B27" s="181">
        <f>+Calculo!BB36</f>
        <v>189488</v>
      </c>
      <c r="C27" s="317">
        <f>+Calculo!B7</f>
        <v>53</v>
      </c>
      <c r="D27" s="178" t="str">
        <f>+Calculo!BC36</f>
        <v>ProTapa plástica 60x60mm</v>
      </c>
      <c r="E27" s="183"/>
      <c r="F27" s="318">
        <f>+Calculo!BE36</f>
        <v>1.31</v>
      </c>
      <c r="G27" s="318">
        <f t="shared" si="0"/>
        <v>69.430000000000007</v>
      </c>
      <c r="K27" s="107">
        <f>+VLOOKUP(B27,CP_2026!$B$28:$L$55,3,0)</f>
        <v>0.04</v>
      </c>
      <c r="L27" s="107">
        <f t="shared" si="1"/>
        <v>2.12</v>
      </c>
    </row>
    <row r="28" spans="2:14">
      <c r="B28" s="184">
        <f>+Calculo!AA36</f>
        <v>272173</v>
      </c>
      <c r="C28" s="317">
        <f>+Calculo!B8</f>
        <v>265</v>
      </c>
      <c r="D28" s="178" t="str">
        <f>+Calculo!AB36</f>
        <v>Fijación p/perno 1/4" Verde</v>
      </c>
      <c r="E28" s="183"/>
      <c r="F28" s="318">
        <f>+Calculo!AE36</f>
        <v>0.96</v>
      </c>
      <c r="G28" s="318">
        <f t="shared" si="0"/>
        <v>254.39999999999998</v>
      </c>
      <c r="K28" s="107">
        <f>+VLOOKUP(B28,CP_2026!$B$28:$L$55,3,0)</f>
        <v>0.03</v>
      </c>
      <c r="L28" s="107">
        <f t="shared" si="1"/>
        <v>7.9499999999999993</v>
      </c>
    </row>
    <row r="29" spans="2:14">
      <c r="B29" s="184">
        <f>+Calculo!AG36</f>
        <v>270501</v>
      </c>
      <c r="C29" s="317">
        <f>+Calculo!B9</f>
        <v>265</v>
      </c>
      <c r="D29" s="178" t="str">
        <f>+Calculo!AH36</f>
        <v>Perno coche 1/4"X2 1/2" INOX 316 CHN</v>
      </c>
      <c r="E29" s="183"/>
      <c r="F29" s="318">
        <f>+Calculo!AK36</f>
        <v>0.75</v>
      </c>
      <c r="G29" s="318">
        <f t="shared" si="0"/>
        <v>198.75</v>
      </c>
      <c r="K29" s="107">
        <f>+VLOOKUP(B29,CP_2026!$B$28:$L$55,3,0)</f>
        <v>0.02</v>
      </c>
      <c r="L29" s="107">
        <f t="shared" si="1"/>
        <v>5.3</v>
      </c>
    </row>
    <row r="30" spans="2:14">
      <c r="B30" s="181">
        <f>+Calculo!AM36</f>
        <v>270504</v>
      </c>
      <c r="C30" s="317">
        <f>+Calculo!B9</f>
        <v>265</v>
      </c>
      <c r="D30" s="186" t="str">
        <f>+Calculo!AN36</f>
        <v>Tuerca Seg.Emb.Autor.INOX 1/4 X19mm</v>
      </c>
      <c r="E30" s="183"/>
      <c r="F30" s="318">
        <f>+Calculo!AP36</f>
        <v>2.12</v>
      </c>
      <c r="G30" s="318">
        <f t="shared" si="0"/>
        <v>561.80000000000007</v>
      </c>
      <c r="K30" s="107">
        <f>+VLOOKUP(B30,CP_2026!$B$28:$L$55,3,0)</f>
        <v>0.01</v>
      </c>
      <c r="L30" s="107">
        <f t="shared" si="1"/>
        <v>2.65</v>
      </c>
    </row>
    <row r="31" spans="2:14">
      <c r="B31" s="181">
        <f>+Calculo!A36</f>
        <v>189483</v>
      </c>
      <c r="C31" s="317">
        <f>+Calculo!B5</f>
        <v>52</v>
      </c>
      <c r="D31" s="178" t="str">
        <f>+Calculo!B36</f>
        <v>CercasPro 2,08x2.50m  Verde</v>
      </c>
      <c r="E31" s="183"/>
      <c r="F31" s="318">
        <f>+Calculo!H36</f>
        <v>101.7</v>
      </c>
      <c r="G31" s="318">
        <f t="shared" si="0"/>
        <v>5288.4000000000005</v>
      </c>
      <c r="K31" s="107">
        <f>+VLOOKUP(B31,CP_2026!$B$28:$L$55,3,0)</f>
        <v>21.95</v>
      </c>
      <c r="L31" s="107">
        <f t="shared" si="1"/>
        <v>1141.3999999999999</v>
      </c>
    </row>
    <row r="32" spans="2:14">
      <c r="B32" s="184" t="str">
        <f>+IF(Calculo!E12="S",Calculo!AR36," ")</f>
        <v xml:space="preserve"> </v>
      </c>
      <c r="C32" s="317" t="str">
        <f>IF(B32=" "," ",+C26*4)</f>
        <v xml:space="preserve"> </v>
      </c>
      <c r="D32" s="186" t="str">
        <f>IF(B32=" "," ",+Calculo!AS36)</f>
        <v xml:space="preserve"> </v>
      </c>
      <c r="E32" s="183"/>
      <c r="F32" s="318" t="str">
        <f>IF(B32=" "," ",Calculo!AU36)</f>
        <v xml:space="preserve"> </v>
      </c>
      <c r="G32" s="318" t="str">
        <f>IF(B32=" "," ",IF(B32="","",F32*C32))</f>
        <v xml:space="preserve"> </v>
      </c>
      <c r="K32" s="107" t="e">
        <f>+VLOOKUP(B32,CP_2026!$B$28:$L$55,3,0)</f>
        <v>#N/A</v>
      </c>
      <c r="L32" s="107" t="e">
        <f t="shared" si="1"/>
        <v>#N/A</v>
      </c>
      <c r="N32" s="133"/>
    </row>
    <row r="33" spans="2:12">
      <c r="B33" s="181" t="str">
        <f>+IF(Calculo!P2="N",Calculo!AR36," ")</f>
        <v xml:space="preserve"> </v>
      </c>
      <c r="C33" s="317" t="str">
        <f>IF(B33=" "," ",+C27*4)</f>
        <v xml:space="preserve"> </v>
      </c>
      <c r="D33" s="186" t="str">
        <f>IF(B33=" "," ",Calculo!AS36)</f>
        <v xml:space="preserve"> </v>
      </c>
      <c r="E33" s="183"/>
      <c r="F33" s="318" t="str">
        <f>IF(B33=" "," ",Calculo!AU36)</f>
        <v xml:space="preserve"> </v>
      </c>
      <c r="G33" s="318" t="str">
        <f>IF(B33=" "," ",IF(B33="","",F33*C33))</f>
        <v xml:space="preserve"> </v>
      </c>
      <c r="K33" s="107" t="str">
        <f>IF(B33=" "," ",+VLOOKUP(B33,CP_2026!$B$28:$L$55,3,0))</f>
        <v xml:space="preserve"> </v>
      </c>
      <c r="L33" s="107" t="str">
        <f>+IF(B33=" "," ",K33*C33)</f>
        <v xml:space="preserve"> </v>
      </c>
    </row>
    <row r="34" spans="2:12">
      <c r="B34" s="181" t="str">
        <f>+IF(Calculo!E13="S",Calculo!BL36," ")</f>
        <v xml:space="preserve"> </v>
      </c>
      <c r="C34" s="317" t="str">
        <f>IF(B34=" "," ",C26)</f>
        <v xml:space="preserve"> </v>
      </c>
      <c r="D34" s="178" t="str">
        <f>IF(B34=" "," ",Calculo!BM36)</f>
        <v xml:space="preserve"> </v>
      </c>
      <c r="E34" s="179"/>
      <c r="F34" s="318" t="str">
        <f>IF(B34=" "," ",Calculo!BO36)</f>
        <v xml:space="preserve"> </v>
      </c>
      <c r="G34" s="318" t="str">
        <f>IF(B34=" "," ",IF(B34="","",F34*C34))</f>
        <v xml:space="preserve"> </v>
      </c>
      <c r="K34" s="107" t="str">
        <f>+IF(B33=" "," ",VLOOKUP(B34,CP_2026!$B$28:$L$55,3,0))</f>
        <v xml:space="preserve"> </v>
      </c>
      <c r="L34" s="107" t="str">
        <f>IF(B33=" "," ",+K34*C34)</f>
        <v xml:space="preserve"> </v>
      </c>
    </row>
    <row r="35" spans="2:12">
      <c r="B35" s="181" t="str">
        <f>+IF(Calculo!E13="S",Calculo!BG36," ")</f>
        <v xml:space="preserve"> </v>
      </c>
      <c r="C35" s="317" t="str">
        <f>IF(B34=" "," ",C34*3)</f>
        <v xml:space="preserve"> </v>
      </c>
      <c r="D35" s="186" t="str">
        <f>IF(B35=" "," ",+Calculo!BH36)</f>
        <v xml:space="preserve"> </v>
      </c>
      <c r="E35" s="179"/>
      <c r="F35" s="318" t="str">
        <f>IF(B35=" "," ",Calculo!BJ36)</f>
        <v xml:space="preserve"> </v>
      </c>
      <c r="G35" s="318" t="str">
        <f>IF(B35=" "," ",IF(B35="","",F35*C35))</f>
        <v xml:space="preserve"> </v>
      </c>
      <c r="K35" s="107" t="str">
        <f>+IF(B33=" "," ",VLOOKUP(B35,CP_2026!$B$28:$L$55,3,0))</f>
        <v xml:space="preserve"> </v>
      </c>
      <c r="L35" s="107" t="str">
        <f>IF(B33=" "," ",+K35*C35)</f>
        <v xml:space="preserve"> </v>
      </c>
    </row>
    <row r="36" spans="2:12">
      <c r="B36" s="181"/>
      <c r="C36" s="193"/>
      <c r="D36" s="178"/>
      <c r="E36" s="179"/>
      <c r="F36" s="318"/>
      <c r="G36" s="318"/>
    </row>
    <row r="37" spans="2:12">
      <c r="B37" s="181"/>
      <c r="C37" s="317"/>
      <c r="D37" s="180"/>
      <c r="E37" s="179"/>
      <c r="F37" s="318"/>
      <c r="G37" s="318"/>
    </row>
    <row r="38" spans="2:12">
      <c r="B38" s="181"/>
      <c r="C38" s="319"/>
      <c r="D38" s="178"/>
      <c r="E38" s="179"/>
      <c r="F38" s="318"/>
      <c r="G38" s="318"/>
    </row>
    <row r="39" spans="2:12">
      <c r="B39" s="181"/>
      <c r="C39" s="317"/>
      <c r="D39" s="178"/>
      <c r="E39" s="179"/>
      <c r="F39" s="318"/>
      <c r="G39" s="318"/>
    </row>
    <row r="40" spans="2:12">
      <c r="B40" s="185"/>
      <c r="C40" s="317"/>
      <c r="D40" s="180"/>
      <c r="E40" s="179"/>
      <c r="F40" s="318"/>
      <c r="G40" s="318"/>
    </row>
    <row r="41" spans="2:12">
      <c r="B41" s="239"/>
      <c r="C41" s="320" t="s">
        <v>259</v>
      </c>
      <c r="D41" s="240"/>
      <c r="E41" s="241"/>
      <c r="F41" s="321"/>
      <c r="G41" s="322"/>
    </row>
    <row r="42" spans="2:12">
      <c r="B42" s="188">
        <f>+Calculo!BQ36</f>
        <v>189205</v>
      </c>
      <c r="C42" s="309">
        <f>+Calculo!B13</f>
        <v>6</v>
      </c>
      <c r="D42" s="187" t="str">
        <f>+Calculo!BR36</f>
        <v>SPRAY VERDE 077 SEYER</v>
      </c>
      <c r="E42" s="135"/>
      <c r="F42" s="318">
        <f>+Calculo!BT36</f>
        <v>3.63</v>
      </c>
      <c r="G42" s="318">
        <f>IF(B42="","",F42*C42)</f>
        <v>21.78</v>
      </c>
      <c r="K42" s="107">
        <f>+VLOOKUP(B42,CP_2026!$B$28:$L$55,3,0)</f>
        <v>0.56000000000000005</v>
      </c>
      <c r="L42" s="107">
        <f>+K42*C42</f>
        <v>3.3600000000000003</v>
      </c>
    </row>
    <row r="43" spans="2:12">
      <c r="B43" s="188">
        <f>+Calculo!BV36</f>
        <v>683471</v>
      </c>
      <c r="C43" s="309">
        <f>+Calculo!B14</f>
        <v>2</v>
      </c>
      <c r="D43" s="187" t="str">
        <f>+Calculo!BW36</f>
        <v>SPRAY GALV FRIO</v>
      </c>
      <c r="E43" s="135"/>
      <c r="F43" s="318">
        <f>+Calculo!BY36</f>
        <v>31.85</v>
      </c>
      <c r="G43" s="318">
        <f>IF(B43="","",F43*C43)</f>
        <v>63.7</v>
      </c>
      <c r="K43" s="107">
        <f>+VLOOKUP(B43,CP_2026!$B$28:$L$55,3,0)</f>
        <v>0.4</v>
      </c>
      <c r="L43" s="107">
        <f>+K43*C43</f>
        <v>0.8</v>
      </c>
    </row>
    <row r="44" spans="2:12">
      <c r="B44" s="189" t="str">
        <f>+IF(Calculo!E13="S",Calculo!CJ36," ")</f>
        <v xml:space="preserve"> </v>
      </c>
      <c r="C44" s="238" t="str">
        <f>IF(B44=" "," ",Calculo!V31)</f>
        <v xml:space="preserve"> </v>
      </c>
      <c r="D44" s="218" t="str">
        <f>IF(B44=" "," ",Calculo!CK36)</f>
        <v xml:space="preserve"> </v>
      </c>
      <c r="E44" s="135"/>
      <c r="F44" s="318" t="str">
        <f>IF(B44=" "," ",Calculo!CL36)</f>
        <v xml:space="preserve"> </v>
      </c>
      <c r="G44" s="323" t="str">
        <f>IF(B44=" "," ",IF(B44="","",F44*C44))</f>
        <v xml:space="preserve"> </v>
      </c>
      <c r="K44" s="107" t="e">
        <f>+VLOOKUP(B44,CP_2026!$B$28:$L$155,3,0)</f>
        <v>#N/A</v>
      </c>
      <c r="L44" s="107" t="e">
        <f>+K44*C44</f>
        <v>#N/A</v>
      </c>
    </row>
    <row r="45" spans="2:12">
      <c r="B45" s="189"/>
      <c r="C45" s="238"/>
      <c r="D45" s="218"/>
      <c r="E45" s="135"/>
      <c r="F45" s="318"/>
      <c r="G45" s="323"/>
    </row>
    <row r="46" spans="2:12">
      <c r="B46" s="189"/>
      <c r="C46" s="238"/>
      <c r="D46" s="218"/>
      <c r="E46" s="135"/>
      <c r="F46" s="318"/>
      <c r="G46" s="323"/>
    </row>
    <row r="47" spans="2:12">
      <c r="B47" s="189"/>
      <c r="C47" s="238"/>
      <c r="D47" s="218"/>
      <c r="E47" s="135"/>
      <c r="F47" s="318"/>
      <c r="G47" s="323"/>
    </row>
    <row r="48" spans="2:12">
      <c r="B48" s="189" t="str">
        <f>+IF(Ingreso!D22&lt;1200," ",IF(Calculo!E12="N",Calculo!CF36," "))</f>
        <v xml:space="preserve"> </v>
      </c>
      <c r="C48" s="310" t="str">
        <f>IF(B48=" "," ",CEILING(Calculo!B12/30,1))</f>
        <v xml:space="preserve"> </v>
      </c>
      <c r="D48" s="218" t="str">
        <f>IF(B48=" "," ",Calculo!CG36)</f>
        <v xml:space="preserve"> </v>
      </c>
      <c r="E48" s="135"/>
      <c r="F48" s="318" t="str">
        <f>IF(B48=" "," ",Calculo!CH36)</f>
        <v xml:space="preserve"> </v>
      </c>
      <c r="G48" s="323" t="str">
        <f>IF(B48=" "," ",IF(B48="","",F48*C48))</f>
        <v xml:space="preserve"> </v>
      </c>
    </row>
    <row r="49" spans="2:16">
      <c r="B49" s="189"/>
      <c r="C49" s="238"/>
      <c r="D49" s="218"/>
      <c r="E49" s="135"/>
      <c r="F49" s="318"/>
      <c r="G49" s="323"/>
    </row>
    <row r="50" spans="2:16">
      <c r="B50" s="189" t="str">
        <f>+IF(Calculo!E14="N",Calculo!CF38," ")</f>
        <v xml:space="preserve"> </v>
      </c>
      <c r="C50" s="238" t="str">
        <f>IF(B50=" "," ",CEILING(Calculo!B14/30,1))</f>
        <v xml:space="preserve"> </v>
      </c>
      <c r="D50" s="218" t="str">
        <f>IF(B50=" "," ",Calculo!CG38)</f>
        <v xml:space="preserve"> </v>
      </c>
      <c r="E50" s="135"/>
      <c r="F50" s="318" t="str">
        <f>IF(B50=" "," ",Calculo!CH38)</f>
        <v xml:space="preserve"> </v>
      </c>
      <c r="G50" s="323" t="str">
        <f>IF(B50=" "," ",IF(B50="","",F50*C50))</f>
        <v xml:space="preserve"> </v>
      </c>
    </row>
    <row r="51" spans="2:16">
      <c r="B51" s="189"/>
      <c r="C51" s="238"/>
      <c r="D51" s="218"/>
      <c r="E51" s="135"/>
      <c r="F51" s="318"/>
      <c r="G51" s="323"/>
    </row>
    <row r="52" spans="2:16">
      <c r="B52" s="239"/>
      <c r="C52" s="320" t="s">
        <v>261</v>
      </c>
      <c r="D52" s="240"/>
      <c r="E52" s="241"/>
      <c r="F52" s="321"/>
      <c r="G52" s="322"/>
      <c r="H52" s="107" t="s">
        <v>11</v>
      </c>
    </row>
    <row r="53" spans="2:16">
      <c r="B53" s="189" t="str">
        <f>++IF(O53="En blanco"," ",IF(Ingreso!$D$29="N"," ",+VLOOKUP(E53,CP_2026!$A$55:$L$66,2,TRUE)))</f>
        <v xml:space="preserve"> </v>
      </c>
      <c r="C53" s="257"/>
      <c r="D53" s="306"/>
      <c r="E53" s="435" t="e">
        <f>+MATCH(D53,CP_2026!$C$55:$C$66,0)</f>
        <v>#N/A</v>
      </c>
      <c r="F53" s="318" t="str">
        <f>IF(B53=" "," ",IF(Calculo!$E$10=Calculo!$I$3,+ROUND(H53*(1-Calculo!$J$3),2),+IF(Calculo!$E$10=Calculo!$I$4,+ROUND(H53*(1-Calculo!$J$4),2),+IF(Calculo!$E$10=Calculo!$I$5,+ROUND(H53*(1-Calculo!$J$5),2),+IF(Calculo!$E$10=Calculo!$I$6,+ROUND(H53*(1-Calculo!$J$6),2),+IF(Calculo!$E$10=Calculo!$I$7,+ROUND(H53*(1-Calculo!$J$7),2),+IF(Calculo!$E$10=Calculo!$I$8,+ROUND(H53*(1-Calculo!$J$8),2),H53)))))))</f>
        <v xml:space="preserve"> </v>
      </c>
      <c r="G53" s="323" t="str">
        <f>IF(B53=" "," ",IF(B53="","",F53*C53))</f>
        <v xml:space="preserve"> </v>
      </c>
      <c r="H53" s="107" t="str">
        <f>++IF(O53="En blanco"," ",IF(Ingreso!$D$29="N"," ",+VLOOKUP(E53,CP_2026!$A$55:$L$66,12,TRUE)))</f>
        <v xml:space="preserve"> </v>
      </c>
      <c r="K53" s="107" t="e">
        <f>+VLOOKUP(B53,CP_2026!$B$57:$L$77,3,0)</f>
        <v>#N/A</v>
      </c>
      <c r="L53" s="107" t="e">
        <f>+K53*C53</f>
        <v>#N/A</v>
      </c>
      <c r="O53" s="385" t="str">
        <f>IF(ISBLANK(C53),"En blanco","No está en blanco")</f>
        <v>En blanco</v>
      </c>
      <c r="P53" s="107" t="str">
        <f>+IF(O53="En blanco"," ","OK")</f>
        <v xml:space="preserve"> </v>
      </c>
    </row>
    <row r="54" spans="2:16">
      <c r="B54" s="189" t="str">
        <f>++IF(O54="En blanco"," ",IF(Ingreso!$D$29="N"," ",+VLOOKUP(E54,CP_2026!$A$55:$L$66,2,TRUE)))</f>
        <v xml:space="preserve"> </v>
      </c>
      <c r="C54" s="257"/>
      <c r="D54" s="306"/>
      <c r="E54" s="435" t="e">
        <f>+MATCH(D54,CP_2026!$C$55:$C$66,0)</f>
        <v>#N/A</v>
      </c>
      <c r="F54" s="318" t="str">
        <f>IF(B54=" "," ",IF(Calculo!$E$10=Calculo!$I$3,+ROUND(H54*(1-Calculo!$J$3),2),+IF(Calculo!$E$10=Calculo!$I$4,+ROUND(H54*(1-Calculo!$J$4),2),+IF(Calculo!$E$10=Calculo!$I$5,+ROUND(H54*(1-Calculo!$J$5),2),+IF(Calculo!$E$10=Calculo!$I$6,+ROUND(H54*(1-Calculo!$J$6),2),+IF(Calculo!$E$10=Calculo!$I$7,+ROUND(H54*(1-Calculo!$J$7),2),+IF(Calculo!$E$10=Calculo!$I$8,+ROUND(H54*(1-Calculo!$J$8),2),H54)))))))</f>
        <v xml:space="preserve"> </v>
      </c>
      <c r="G54" s="323" t="str">
        <f>IF(B54=" "," ",IF(B54="","",F54*C54))</f>
        <v xml:space="preserve"> </v>
      </c>
      <c r="H54" s="107" t="str">
        <f>++IF(O54="En blanco"," ",IF(Ingreso!$D$29="N"," ",+VLOOKUP(E54,CP_2026!$A$55:$L$66,12,TRUE)))</f>
        <v xml:space="preserve"> </v>
      </c>
      <c r="K54" s="107" t="e">
        <f>+VLOOKUP(B54,CP_2026!$B$57:$L$77,3,0)</f>
        <v>#N/A</v>
      </c>
      <c r="L54" s="107" t="e">
        <f>+K54*C54</f>
        <v>#N/A</v>
      </c>
      <c r="O54" s="385" t="str">
        <f t="shared" ref="O54:O60" si="2">IF(ISBLANK(C54),"En blanco","No está en blanco")</f>
        <v>En blanco</v>
      </c>
    </row>
    <row r="55" spans="2:16">
      <c r="B55" s="189" t="str">
        <f>++IF(O55="En blanco"," ",IF(Ingreso!$D$29="N"," ",+VLOOKUP(E55,CP_2026!$A$55:$L$66,2,TRUE)))</f>
        <v xml:space="preserve"> </v>
      </c>
      <c r="C55" s="257"/>
      <c r="D55" s="306"/>
      <c r="E55" s="435" t="e">
        <f>+MATCH(D55,CP_2026!$C$55:$C$66,0)</f>
        <v>#N/A</v>
      </c>
      <c r="F55" s="318" t="str">
        <f>IF(B55=" "," ",IF(Calculo!$E$10=Calculo!$I$3,+ROUND(H55*(1-Calculo!$J$3),2),+IF(Calculo!$E$10=Calculo!$I$4,+ROUND(H55*(1-Calculo!$J$4),2),+IF(Calculo!$E$10=Calculo!$I$5,+ROUND(H55*(1-Calculo!$J$5),2),+IF(Calculo!$E$10=Calculo!$I$6,+ROUND(H55*(1-Calculo!$J$6),2),+IF(Calculo!$E$10=Calculo!$I$7,+ROUND(H55*(1-Calculo!$J$7),2),+IF(Calculo!$E$10=Calculo!$I$8,+ROUND(H55*(1-Calculo!$J$8),2),H55)))))))</f>
        <v xml:space="preserve"> </v>
      </c>
      <c r="G55" s="323" t="str">
        <f>IF(B55=" "," ",IF(B55="","",F55*C55))</f>
        <v xml:space="preserve"> </v>
      </c>
      <c r="H55" s="107" t="str">
        <f>++IF(O55="En blanco"," ",IF(Ingreso!$D$29="N"," ",+VLOOKUP(E55,CP_2026!$A$55:$L$66,12,TRUE)))</f>
        <v xml:space="preserve"> </v>
      </c>
      <c r="K55" s="107" t="e">
        <f>+VLOOKUP(B55,CP_2026!$B$57:$L$77,3,0)</f>
        <v>#N/A</v>
      </c>
      <c r="L55" s="107" t="e">
        <f>+K55*C55</f>
        <v>#N/A</v>
      </c>
      <c r="O55" s="385" t="str">
        <f t="shared" si="2"/>
        <v>En blanco</v>
      </c>
    </row>
    <row r="56" spans="2:16">
      <c r="B56" s="239"/>
      <c r="C56" s="320"/>
      <c r="D56" s="241"/>
      <c r="E56" s="289"/>
      <c r="F56" s="321"/>
      <c r="G56" s="322"/>
    </row>
    <row r="57" spans="2:16">
      <c r="B57" s="269" t="str">
        <f>++IF(O57="En blanco"," ",IF(Ingreso!$D$29="N"," ",+VLOOKUP(E57,CP_2026!$A$55:$L$66,2,TRUE)))</f>
        <v xml:space="preserve"> </v>
      </c>
      <c r="C57" s="270"/>
      <c r="D57" s="307"/>
      <c r="E57" s="436" t="e">
        <f>+MATCH(D57,CP_2026!$C$55:$C$75,0)</f>
        <v>#N/A</v>
      </c>
      <c r="F57" s="345" t="str">
        <f>IF(B57=" "," ",IF(Calculo!$E$10=Calculo!$I$3,+ROUND(H57*(1-Calculo!$J$3),2),+IF(Calculo!$E$10=Calculo!$I$4,+ROUND(H57*(1-Calculo!$J$4),2),+IF(Calculo!$E$10=Calculo!$I$5,+ROUND(H57*(1-Calculo!$J$5),2),+IF(Calculo!$E$10=Calculo!$I$6,+ROUND(H57*(1-Calculo!$J$6),2),+IF(Calculo!$E$10=Calculo!$I$7,+ROUND(H57*(1-Calculo!$J$7),2),+IF(Calculo!$E$10=Calculo!$I$8,+ROUND(H57*(1-Calculo!$J$8),2),H57)))))))</f>
        <v xml:space="preserve"> </v>
      </c>
      <c r="G57" s="324" t="str">
        <f>IF(B57=" "," ",F57*C57)</f>
        <v xml:space="preserve"> </v>
      </c>
      <c r="H57" s="107" t="str">
        <f>++IF(O57="En blanco"," ",IF(Ingreso!$D$29="N"," ",+VLOOKUP(E57,CP_2026!$A$55:$L$66,12,TRUE)))</f>
        <v xml:space="preserve"> </v>
      </c>
      <c r="K57" s="107" t="e">
        <f>+VLOOKUP(B57,CP_2026!$B$57:$L$77,3,0)</f>
        <v>#N/A</v>
      </c>
      <c r="L57" s="107" t="e">
        <f>+K57*C57</f>
        <v>#N/A</v>
      </c>
      <c r="O57" s="385" t="str">
        <f t="shared" si="2"/>
        <v>En blanco</v>
      </c>
    </row>
    <row r="58" spans="2:16">
      <c r="B58" s="189" t="str">
        <f>++IF(O58="En blanco"," ",IF(Ingreso!$D$29="N"," ",+VLOOKUP(E58,CP_2026!$A$55:$L$66,2,TRUE)))</f>
        <v xml:space="preserve"> </v>
      </c>
      <c r="C58" s="257"/>
      <c r="D58" s="306"/>
      <c r="E58" s="435" t="e">
        <f>+MATCH(D58,CP_2026!$C$55:$C$75,0)</f>
        <v>#N/A</v>
      </c>
      <c r="F58" s="318" t="str">
        <f>IF(B58=" "," ",IF(Calculo!$E$10=Calculo!$I$3,+ROUND(H58*(1-Calculo!$J$3),2),+IF(Calculo!$E$10=Calculo!$I$4,+ROUND(H58*(1-Calculo!$J$4),2),+IF(Calculo!$E$10=Calculo!$I$5,+ROUND(H58*(1-Calculo!$J$5),2),+IF(Calculo!$E$10=Calculo!$I$6,+ROUND(H58*(1-Calculo!$J$6),2),+IF(Calculo!$E$10=Calculo!$I$7,+ROUND(H58*(1-Calculo!$J$7),2),+IF(Calculo!$E$10=Calculo!$I$8,+ROUND(H58*(1-Calculo!$J$8),2),H58)))))))</f>
        <v xml:space="preserve"> </v>
      </c>
      <c r="G58" s="323" t="str">
        <f>IF(B58=" "," ",F58*C58)</f>
        <v xml:space="preserve"> </v>
      </c>
      <c r="H58" s="107" t="str">
        <f>++IF(O58="En blanco"," ",IF(Ingreso!$D$29="N"," ",+VLOOKUP(E58,CP_2026!$A$55:$L$66,12,TRUE)))</f>
        <v xml:space="preserve"> </v>
      </c>
      <c r="K58" s="107" t="e">
        <f>+VLOOKUP(B58,CP_2026!$B$57:$L$77,3,0)</f>
        <v>#N/A</v>
      </c>
      <c r="L58" s="107" t="e">
        <f>+K58*C58</f>
        <v>#N/A</v>
      </c>
      <c r="O58" s="385" t="str">
        <f t="shared" si="2"/>
        <v>En blanco</v>
      </c>
    </row>
    <row r="59" spans="2:16">
      <c r="B59" s="189" t="str">
        <f>++IF(O59="En blanco"," ",IF(Ingreso!$D$29="N"," ",+VLOOKUP(E59,CP_2026!$A$55:$L$66,2,TRUE)))</f>
        <v xml:space="preserve"> </v>
      </c>
      <c r="C59" s="257"/>
      <c r="D59" s="306"/>
      <c r="E59" s="435" t="e">
        <f>+MATCH(D59,CP_2026!$C$55:$C$75,0)</f>
        <v>#N/A</v>
      </c>
      <c r="F59" s="318" t="str">
        <f>IF(B59=" "," ",IF(Calculo!$E$10=Calculo!$I$3,+ROUND(H59*(1-Calculo!$J$3),2),+IF(Calculo!$E$10=Calculo!$I$4,+ROUND(H59*(1-Calculo!$J$4),2),+IF(Calculo!$E$10=Calculo!$I$5,+ROUND(H59*(1-Calculo!$J$5),2),+IF(Calculo!$E$10=Calculo!$I$6,+ROUND(H59*(1-Calculo!$J$6),2),+IF(Calculo!$E$10=Calculo!$I$7,+ROUND(H59*(1-Calculo!$J$7),2),+IF(Calculo!$E$10=Calculo!$I$8,+ROUND(H59*(1-Calculo!$J$8),2),H59)))))))</f>
        <v xml:space="preserve"> </v>
      </c>
      <c r="G59" s="323" t="str">
        <f>IF(B59=" "," ",F59*C59)</f>
        <v xml:space="preserve"> </v>
      </c>
      <c r="H59" s="107" t="str">
        <f>++IF(O59="En blanco"," ",IF(Ingreso!$D$29="N"," ",+VLOOKUP(E59,CP_2026!$A$55:$L$66,12,TRUE)))</f>
        <v xml:space="preserve"> </v>
      </c>
      <c r="K59" s="107" t="e">
        <f>+VLOOKUP(B59,CP_2026!$B$57:$L$77,3,0)</f>
        <v>#N/A</v>
      </c>
      <c r="L59" s="107" t="e">
        <f>+K59*C59</f>
        <v>#N/A</v>
      </c>
      <c r="O59" s="385" t="str">
        <f t="shared" si="2"/>
        <v>En blanco</v>
      </c>
    </row>
    <row r="60" spans="2:16">
      <c r="B60" s="271" t="str">
        <f>++IF(O60="En blanco"," ",IF(Ingreso!$D$29="N"," ",+VLOOKUP(E60,CP_2026!$A$55:$L$66,2,TRUE)))</f>
        <v xml:space="preserve"> </v>
      </c>
      <c r="C60" s="258"/>
      <c r="D60" s="308"/>
      <c r="E60" s="437" t="e">
        <f>+MATCH(D60,CP_2026!$C$55:$C$75,0)</f>
        <v>#N/A</v>
      </c>
      <c r="F60" s="346" t="str">
        <f>IF(B60=" "," ",IF(Calculo!$E$10=Calculo!$I$3,+ROUND(H60*(1-Calculo!$J$3),2),+IF(Calculo!$E$10=Calculo!$I$4,+ROUND(H60*(1-Calculo!$J$4),2),+IF(Calculo!$E$10=Calculo!$I$5,+ROUND(H60*(1-Calculo!$J$5),2),+IF(Calculo!$E$10=Calculo!$I$6,+ROUND(H60*(1-Calculo!$J$6),2),+IF(Calculo!$E$10=Calculo!$I$7,+ROUND(H60*(1-Calculo!$J$7),2),+IF(Calculo!$E$10=Calculo!$I$8,+ROUND(H60*(1-Calculo!$J$8),2),H60)))))))</f>
        <v xml:space="preserve"> </v>
      </c>
      <c r="G60" s="325" t="str">
        <f>IF(B60=" "," ",F60*C60)</f>
        <v xml:space="preserve"> </v>
      </c>
      <c r="H60" s="107" t="str">
        <f>++IF(O60="En blanco"," ",IF(Ingreso!$D$29="N"," ",+VLOOKUP(E60,CP_2026!$A$55:$L$66,12,TRUE)))</f>
        <v xml:space="preserve"> </v>
      </c>
      <c r="K60" s="107" t="e">
        <f>+VLOOKUP(B60,CP_2026!$B$57:$L$77,3,0)</f>
        <v>#N/A</v>
      </c>
      <c r="L60" s="107" t="e">
        <f>+K60*C60</f>
        <v>#N/A</v>
      </c>
      <c r="O60" s="385" t="str">
        <f t="shared" si="2"/>
        <v>En blanco</v>
      </c>
    </row>
    <row r="61" spans="2:16" ht="13" thickBot="1">
      <c r="B61" s="134" t="s">
        <v>165</v>
      </c>
      <c r="C61" s="259" t="str">
        <f>+L61&amp;" kg "</f>
        <v xml:space="preserve">1550.48 kg </v>
      </c>
      <c r="D61" s="256"/>
      <c r="E61" s="124"/>
      <c r="F61" s="326"/>
      <c r="G61" s="136"/>
      <c r="L61" s="107">
        <f>+SUMIF(L26:L60,"&gt;0")</f>
        <v>1550.4799999999996</v>
      </c>
    </row>
    <row r="62" spans="2:16" ht="13">
      <c r="C62" s="264"/>
      <c r="D62" s="134"/>
      <c r="E62" s="327" t="s">
        <v>166</v>
      </c>
      <c r="F62" s="328"/>
      <c r="G62" s="329">
        <f>SUM(G26:G61)</f>
        <v>8058.33</v>
      </c>
    </row>
    <row r="63" spans="2:16" ht="13">
      <c r="C63" s="264"/>
      <c r="D63" s="134"/>
      <c r="E63" s="330"/>
      <c r="F63" s="326"/>
      <c r="G63" s="331"/>
    </row>
    <row r="64" spans="2:16" ht="13">
      <c r="C64" s="264"/>
      <c r="D64" s="137"/>
      <c r="E64" s="330"/>
      <c r="F64" s="326"/>
      <c r="G64" s="331"/>
    </row>
    <row r="65" spans="2:7">
      <c r="C65" s="264"/>
      <c r="D65" s="137"/>
      <c r="E65" s="332" t="s">
        <v>167</v>
      </c>
      <c r="F65" s="333"/>
      <c r="G65" s="334">
        <v>0</v>
      </c>
    </row>
    <row r="66" spans="2:7">
      <c r="C66" s="264"/>
      <c r="D66" s="134"/>
      <c r="E66" s="335" t="s">
        <v>168</v>
      </c>
      <c r="F66" s="136"/>
      <c r="G66" s="334">
        <f>+G62-G65</f>
        <v>8058.33</v>
      </c>
    </row>
    <row r="67" spans="2:7">
      <c r="C67" s="264"/>
      <c r="D67" s="134"/>
      <c r="E67" s="335"/>
      <c r="F67" s="136"/>
      <c r="G67" s="334"/>
    </row>
    <row r="68" spans="2:7" ht="13">
      <c r="C68" s="264"/>
      <c r="D68" s="134"/>
      <c r="E68" s="330" t="s">
        <v>169</v>
      </c>
      <c r="F68" s="336"/>
      <c r="G68" s="334">
        <f>G66*0.12</f>
        <v>966.99959999999999</v>
      </c>
    </row>
    <row r="69" spans="2:7" ht="13.5" thickBot="1">
      <c r="C69" s="264"/>
      <c r="D69" s="134"/>
      <c r="E69" s="330"/>
      <c r="F69" s="336"/>
      <c r="G69" s="334"/>
    </row>
    <row r="70" spans="2:7" ht="13.5" thickBot="1">
      <c r="C70" s="264"/>
      <c r="D70" s="134"/>
      <c r="E70" s="337" t="s">
        <v>170</v>
      </c>
      <c r="F70" s="338" t="str">
        <f>+Calculo!E10</f>
        <v>Franquicia</v>
      </c>
      <c r="G70" s="339">
        <f>G66+G68</f>
        <v>9025.3295999999991</v>
      </c>
    </row>
    <row r="71" spans="2:7" ht="18">
      <c r="C71" s="118"/>
      <c r="D71" s="125"/>
      <c r="E71" s="139"/>
      <c r="F71" s="139"/>
      <c r="G71" s="140"/>
    </row>
    <row r="72" spans="2:7" ht="15.5">
      <c r="C72" s="118"/>
      <c r="D72" s="125"/>
    </row>
    <row r="73" spans="2:7" ht="15.5">
      <c r="C73" s="118"/>
      <c r="D73" s="141"/>
      <c r="E73" s="340"/>
      <c r="F73" s="142"/>
      <c r="G73" s="341"/>
    </row>
    <row r="74" spans="2:7" ht="15.5">
      <c r="B74" s="342" t="s">
        <v>171</v>
      </c>
      <c r="C74" s="183"/>
      <c r="D74" s="177"/>
      <c r="E74" s="190"/>
      <c r="F74" s="191"/>
      <c r="G74" s="138"/>
    </row>
    <row r="75" spans="2:7" ht="15.5">
      <c r="C75" s="183"/>
      <c r="D75" s="177"/>
      <c r="E75" s="190"/>
      <c r="F75" s="190"/>
    </row>
    <row r="76" spans="2:7" ht="15.5">
      <c r="B76" s="109" t="s">
        <v>172</v>
      </c>
      <c r="D76" s="109"/>
      <c r="E76" s="190"/>
      <c r="F76" s="191"/>
      <c r="G76" s="138"/>
    </row>
    <row r="77" spans="2:7" ht="15.5">
      <c r="B77" s="177"/>
      <c r="C77" s="343"/>
      <c r="D77" s="177"/>
      <c r="E77" s="190"/>
      <c r="F77" s="191"/>
      <c r="G77" s="138"/>
    </row>
    <row r="78" spans="2:7" ht="15.5">
      <c r="B78" s="177"/>
      <c r="C78" s="343"/>
      <c r="D78" s="177"/>
      <c r="E78" s="190"/>
      <c r="F78" s="191"/>
      <c r="G78" s="138"/>
    </row>
    <row r="79" spans="2:7" ht="15.5">
      <c r="C79" s="265"/>
      <c r="D79" s="104"/>
      <c r="E79" s="125"/>
      <c r="F79" s="143"/>
      <c r="G79" s="104"/>
    </row>
    <row r="80" spans="2:7" ht="15.5">
      <c r="B80" s="125" t="s">
        <v>173</v>
      </c>
      <c r="C80" s="118"/>
      <c r="E80" s="125"/>
      <c r="F80" s="143"/>
      <c r="G80" s="104"/>
    </row>
    <row r="81" spans="2:15" ht="15.5">
      <c r="E81" s="144"/>
      <c r="F81" s="145"/>
      <c r="G81" s="138"/>
    </row>
    <row r="82" spans="2:15" ht="15.5">
      <c r="E82" s="144"/>
      <c r="F82" s="145"/>
      <c r="G82" s="138"/>
    </row>
    <row r="83" spans="2:15" ht="15.5">
      <c r="B83" s="107" t="str">
        <f>+Ingreso!D35</f>
        <v>Naranjo Melanie</v>
      </c>
      <c r="C83" s="266"/>
      <c r="E83" s="144"/>
      <c r="F83" s="145"/>
    </row>
    <row r="84" spans="2:15" ht="15.5">
      <c r="B84" s="107" t="str">
        <f>+VLOOKUP(B83,'DATOS PARTIDA'!I3:K47,2,FALSE)</f>
        <v>melanie.naranjo@bekaert.com</v>
      </c>
      <c r="C84" s="266"/>
      <c r="D84" s="133" t="str">
        <f>+VLOOKUP(B83,'DATOS PARTIDA'!I3:K47,3,FALSE)</f>
        <v>+593 98 535 0069</v>
      </c>
      <c r="E84" s="144"/>
      <c r="F84" s="145"/>
      <c r="G84" s="595" t="str">
        <f>+CP_2026!A5</f>
        <v>LISTA DE PRECIOS 
VIGENTE  AGOSTO DE 2026</v>
      </c>
    </row>
    <row r="85" spans="2:15" ht="15.5">
      <c r="C85" s="266"/>
      <c r="E85" s="144"/>
      <c r="F85" s="145"/>
      <c r="G85" s="595"/>
    </row>
    <row r="86" spans="2:15" ht="15.5">
      <c r="B86" s="144" t="s">
        <v>215</v>
      </c>
      <c r="E86" s="144"/>
      <c r="F86" s="344"/>
      <c r="G86" s="595"/>
    </row>
    <row r="87" spans="2:15" s="99" customFormat="1" ht="18" hidden="1">
      <c r="B87" s="592" t="s">
        <v>243</v>
      </c>
      <c r="C87" s="592"/>
      <c r="D87" s="592"/>
      <c r="E87" s="592"/>
      <c r="F87" s="98"/>
      <c r="G87" s="98"/>
      <c r="O87" s="384"/>
    </row>
    <row r="88" spans="2:15" s="99" customFormat="1" ht="18.5" hidden="1" thickBot="1">
      <c r="B88" s="593" t="str">
        <f>+Ingreso!F4</f>
        <v>RECUBRIMIENTO: DUPLEX ( GALVANIZADO + POLIESTER )</v>
      </c>
      <c r="C88" s="594"/>
      <c r="D88" s="594"/>
      <c r="E88" s="594"/>
      <c r="F88" s="100"/>
      <c r="G88" s="100"/>
      <c r="O88" s="384"/>
    </row>
    <row r="89" spans="2:15" s="99" customFormat="1" ht="18.5" hidden="1" thickTop="1">
      <c r="B89" s="101"/>
      <c r="C89" s="101"/>
      <c r="D89" s="101"/>
      <c r="E89" s="101"/>
      <c r="F89" s="102"/>
      <c r="G89" s="102"/>
      <c r="O89" s="384"/>
    </row>
    <row r="90" spans="2:15" ht="14" hidden="1">
      <c r="B90" s="103" t="s">
        <v>144</v>
      </c>
      <c r="C90" s="136"/>
      <c r="D90" s="104"/>
      <c r="E90" s="105" t="s">
        <v>145</v>
      </c>
      <c r="F90" s="105"/>
    </row>
    <row r="91" spans="2:15" ht="13" hidden="1">
      <c r="B91" s="105" t="s">
        <v>113</v>
      </c>
      <c r="C91" s="136"/>
      <c r="D91" s="104"/>
      <c r="E91" s="105" t="s">
        <v>146</v>
      </c>
      <c r="F91" s="105"/>
      <c r="G91" s="108"/>
    </row>
    <row r="92" spans="2:15" ht="15.5" hidden="1">
      <c r="B92" s="109" t="s">
        <v>147</v>
      </c>
      <c r="E92" s="105" t="s">
        <v>148</v>
      </c>
      <c r="F92" s="313"/>
      <c r="G92" s="110"/>
    </row>
    <row r="93" spans="2:15" ht="15.5" hidden="1">
      <c r="B93" s="109" t="s">
        <v>149</v>
      </c>
      <c r="E93" s="105" t="s">
        <v>174</v>
      </c>
      <c r="F93" s="106"/>
    </row>
    <row r="94" spans="2:15" ht="15.5" hidden="1">
      <c r="B94" s="109" t="s">
        <v>150</v>
      </c>
      <c r="F94" s="106"/>
      <c r="G94" s="111" t="s">
        <v>151</v>
      </c>
    </row>
    <row r="95" spans="2:15" ht="16" hidden="1" thickBot="1">
      <c r="B95" s="112"/>
      <c r="C95" s="260"/>
      <c r="D95" s="113"/>
      <c r="E95" s="112"/>
      <c r="F95" s="114"/>
      <c r="G95" s="115" t="s">
        <v>152</v>
      </c>
    </row>
    <row r="96" spans="2:15" ht="15.5" hidden="1">
      <c r="D96" s="106"/>
      <c r="G96" s="116"/>
    </row>
    <row r="97" spans="2:12" ht="15.5" hidden="1">
      <c r="B97" s="117" t="s">
        <v>153</v>
      </c>
      <c r="D97" s="118"/>
    </row>
    <row r="98" spans="2:12" ht="15.5" hidden="1">
      <c r="B98" s="117"/>
      <c r="D98" s="118"/>
      <c r="F98" s="119" t="s">
        <v>154</v>
      </c>
      <c r="G98" s="107" t="str">
        <f>+Ingreso!D12</f>
        <v>sangolqui</v>
      </c>
    </row>
    <row r="99" spans="2:12" hidden="1">
      <c r="B99" s="120" t="str">
        <f>+Ingreso!D8</f>
        <v>XXXXXXX</v>
      </c>
      <c r="C99" s="261"/>
      <c r="D99" s="120"/>
      <c r="F99" s="121" t="s">
        <v>155</v>
      </c>
      <c r="G99" s="122">
        <f>+Ingreso!D15</f>
        <v>44845</v>
      </c>
    </row>
    <row r="100" spans="2:12" hidden="1">
      <c r="B100" s="120" t="str">
        <f>+Ingreso!D9</f>
        <v>eqwqe</v>
      </c>
      <c r="C100" s="261"/>
      <c r="D100" s="120"/>
      <c r="F100" s="119" t="s">
        <v>156</v>
      </c>
      <c r="G100" s="146" t="str">
        <f>+Ingreso!D13</f>
        <v>2222222adas</v>
      </c>
    </row>
    <row r="101" spans="2:12" hidden="1">
      <c r="B101" s="120" t="str">
        <f>+Ingreso!D10</f>
        <v>Quito Norte</v>
      </c>
      <c r="C101" s="261"/>
      <c r="D101" s="120"/>
      <c r="F101" s="123" t="s">
        <v>157</v>
      </c>
      <c r="G101" s="119" t="str">
        <f>+Ingreso!D14</f>
        <v>123@gmail.com</v>
      </c>
    </row>
    <row r="102" spans="2:12" hidden="1">
      <c r="F102" s="123"/>
      <c r="G102" s="119"/>
    </row>
    <row r="103" spans="2:12" ht="16" hidden="1" thickBot="1">
      <c r="B103" s="112"/>
      <c r="C103" s="260"/>
      <c r="D103" s="113"/>
      <c r="E103" s="112"/>
      <c r="F103" s="114"/>
      <c r="G103" s="115" t="s">
        <v>152</v>
      </c>
    </row>
    <row r="104" spans="2:12" ht="15.5" hidden="1">
      <c r="D104" s="106"/>
    </row>
    <row r="105" spans="2:12" ht="15.5" hidden="1">
      <c r="B105" s="125" t="s">
        <v>158</v>
      </c>
      <c r="D105" s="125"/>
      <c r="E105" s="124"/>
      <c r="F105" s="106"/>
      <c r="G105" s="106"/>
    </row>
    <row r="106" spans="2:12" ht="15.5" hidden="1">
      <c r="C106" s="262"/>
      <c r="D106" s="125"/>
      <c r="E106" s="124"/>
      <c r="F106" s="126"/>
      <c r="G106" s="126"/>
    </row>
    <row r="107" spans="2:12" hidden="1">
      <c r="B107" s="586" t="s">
        <v>159</v>
      </c>
      <c r="C107" s="588" t="s">
        <v>160</v>
      </c>
      <c r="D107" s="588" t="s">
        <v>161</v>
      </c>
      <c r="E107" s="590"/>
      <c r="F107" s="586" t="s">
        <v>162</v>
      </c>
      <c r="G107" s="586" t="s">
        <v>163</v>
      </c>
      <c r="K107" s="585" t="s">
        <v>131</v>
      </c>
      <c r="L107" s="585" t="s">
        <v>212</v>
      </c>
    </row>
    <row r="108" spans="2:12" hidden="1">
      <c r="B108" s="587"/>
      <c r="C108" s="589"/>
      <c r="D108" s="589"/>
      <c r="E108" s="591"/>
      <c r="F108" s="587"/>
      <c r="G108" s="587"/>
      <c r="K108" s="585"/>
      <c r="L108" s="585"/>
    </row>
    <row r="109" spans="2:12" hidden="1">
      <c r="B109" s="127"/>
      <c r="C109" s="203">
        <f>+Calculo!B51</f>
        <v>130</v>
      </c>
      <c r="D109" s="128" t="str">
        <f>+" CERCAS PRO "&amp;Ingreso!$C$4&amp;" "&amp;Ingreso!$D$27&amp;" h ="&amp;Ingreso!$D$26&amp;" Inclinación "&amp;Ingreso!$D$25*100&amp;" % "</f>
        <v xml:space="preserve"> CERCAS PRO PERIMETRAL VERDE h =2.08 Inclinación 0 % </v>
      </c>
      <c r="E109" s="129"/>
      <c r="F109" s="314"/>
      <c r="G109" s="129"/>
    </row>
    <row r="110" spans="2:12" hidden="1">
      <c r="B110" s="130"/>
      <c r="C110" s="263"/>
      <c r="D110" s="131" t="str">
        <f>IF(Ingreso!$D$24="s","CON 3 HILERAS DE ALAMBRE DE PUAS","SIN ALAMBRES DE PUAS")</f>
        <v>SIN ALAMBRES DE PUAS</v>
      </c>
      <c r="E110" s="132"/>
      <c r="F110" s="315" t="s">
        <v>164</v>
      </c>
      <c r="G110" s="316"/>
    </row>
    <row r="111" spans="2:12" hidden="1">
      <c r="B111" s="184">
        <f>+Calculo!J66</f>
        <v>667702</v>
      </c>
      <c r="C111" s="193">
        <f>+IF(B111=" "," ",Calculo!B53)</f>
        <v>53</v>
      </c>
      <c r="D111" s="227" t="str">
        <f>+IF(Ingreso!D23="N",Calculo!K66,"NO SE DISPONE OPICON CON PLACA")</f>
        <v>PostePro Urb 60x40x1,25x2.60m  Plinto/Verde</v>
      </c>
      <c r="E111" s="183"/>
      <c r="F111" s="318">
        <f>+IF(B111=" "," ",Calculo!Q66)</f>
        <v>31.93</v>
      </c>
      <c r="G111" s="318">
        <f t="shared" ref="G111:G116" si="3">IF(B111="","",F111*C111)</f>
        <v>1692.29</v>
      </c>
      <c r="K111" s="107">
        <f>+VLOOKUP(B111,CP_2026!$B$18:$L$55,3,0)</f>
        <v>5.0439999999999996</v>
      </c>
      <c r="L111" s="107">
        <f>+K111*C111</f>
        <v>267.33199999999999</v>
      </c>
    </row>
    <row r="112" spans="2:12" hidden="1">
      <c r="B112" s="184">
        <f>+Calculo!AR66</f>
        <v>667705</v>
      </c>
      <c r="C112" s="193">
        <f>+IF(B112=" "," ",Calculo!B54)</f>
        <v>53</v>
      </c>
      <c r="D112" s="178" t="str">
        <f>+IF(Ingreso!D23="N",Calculo!AS66,"")</f>
        <v xml:space="preserve">ProTapa Plastica Gris 60x40mm </v>
      </c>
      <c r="E112" s="183"/>
      <c r="F112" s="318">
        <f>+IF(B112=" "," ",Calculo!AU66)</f>
        <v>0.69</v>
      </c>
      <c r="G112" s="318">
        <f t="shared" si="3"/>
        <v>36.57</v>
      </c>
      <c r="K112" s="107">
        <f>+VLOOKUP(B112,CP_2026!$B$18:$L$55,3,0)</f>
        <v>2.8000000000000001E-2</v>
      </c>
      <c r="L112" s="107">
        <f t="shared" ref="L112:L117" si="4">+K112*C112</f>
        <v>1.484</v>
      </c>
    </row>
    <row r="113" spans="2:14" hidden="1">
      <c r="B113" s="184">
        <f>+Calculo!AA66</f>
        <v>667706</v>
      </c>
      <c r="C113" s="193">
        <f>+IF(B113=" "," ",Calculo!B55)</f>
        <v>265</v>
      </c>
      <c r="D113" s="178" t="str">
        <f>+IF(Ingreso!D23="N",Calculo!AB66,"")</f>
        <v>Fijacion Urb 37x29x7x2,5 P1/4 Verde</v>
      </c>
      <c r="E113" s="183"/>
      <c r="F113" s="318">
        <f>+IF(B113=" "," ",Calculo!AE66)</f>
        <v>0.91</v>
      </c>
      <c r="G113" s="318">
        <f t="shared" si="3"/>
        <v>241.15</v>
      </c>
      <c r="K113" s="107">
        <f>+VLOOKUP(B113,CP_2026!$B$18:$L$55,3,0)</f>
        <v>2.9000000000000001E-2</v>
      </c>
      <c r="L113" s="107">
        <f t="shared" si="4"/>
        <v>7.6850000000000005</v>
      </c>
    </row>
    <row r="114" spans="2:14" hidden="1">
      <c r="B114" s="184">
        <f>+Calculo!AG66</f>
        <v>270502</v>
      </c>
      <c r="C114" s="193">
        <f>+IF(B114=" "," ",Calculo!B56)</f>
        <v>265</v>
      </c>
      <c r="D114" s="178" t="str">
        <f>+IF(Ingreso!D23="N",Calculo!AH66,"")</f>
        <v xml:space="preserve">Perno coche 1/4"X3" INOX 316 CHN </v>
      </c>
      <c r="E114" s="183"/>
      <c r="F114" s="318">
        <f>+IF(B114=" "," ",Calculo!AK66)</f>
        <v>0.79</v>
      </c>
      <c r="G114" s="318">
        <f t="shared" si="3"/>
        <v>209.35000000000002</v>
      </c>
      <c r="K114" s="107">
        <f>+VLOOKUP(B114,CP_2026!$B$18:$L$55,3,0)</f>
        <v>0.03</v>
      </c>
      <c r="L114" s="107">
        <f t="shared" si="4"/>
        <v>7.9499999999999993</v>
      </c>
    </row>
    <row r="115" spans="2:14" hidden="1">
      <c r="B115" s="184">
        <f>+Calculo!AM66</f>
        <v>270504</v>
      </c>
      <c r="C115" s="193">
        <f>+IF(B115=" "," ",Calculo!B56)</f>
        <v>265</v>
      </c>
      <c r="D115" s="186" t="str">
        <f>+IF(Ingreso!D23="N",Calculo!AN66," ")</f>
        <v>Tuerca Seg.Emb.Autor.INOX 1/4 X19mm</v>
      </c>
      <c r="E115" s="183"/>
      <c r="F115" s="318">
        <f>+IF(B115=" "," ",Calculo!AP66)</f>
        <v>2.12</v>
      </c>
      <c r="G115" s="318">
        <f t="shared" si="3"/>
        <v>561.80000000000007</v>
      </c>
      <c r="K115" s="107">
        <f>+VLOOKUP(B115,CP_2026!$B$18:$L$55,3,0)</f>
        <v>0.01</v>
      </c>
      <c r="L115" s="107">
        <f t="shared" si="4"/>
        <v>2.65</v>
      </c>
    </row>
    <row r="116" spans="2:14" hidden="1">
      <c r="B116" s="181">
        <f>+Calculo!A66</f>
        <v>667701</v>
      </c>
      <c r="C116" s="193">
        <f>+IF(B116=" "," ",Calculo!B52)</f>
        <v>52</v>
      </c>
      <c r="D116" s="186" t="str">
        <f>+IF(Ingreso!D23="N",Calculo!B66," ")</f>
        <v>CercasPro Urb 2.08x2.50m Verde</v>
      </c>
      <c r="E116" s="183"/>
      <c r="F116" s="318">
        <f>+IF(B116=" "," ",Calculo!H66)</f>
        <v>76.739999999999995</v>
      </c>
      <c r="G116" s="318">
        <f t="shared" si="3"/>
        <v>3990.4799999999996</v>
      </c>
      <c r="K116" s="107">
        <f>+VLOOKUP(B116,CP_2026!$B$18:$L$55,3,0)</f>
        <v>15.426</v>
      </c>
      <c r="L116" s="107">
        <f t="shared" si="4"/>
        <v>802.15200000000004</v>
      </c>
    </row>
    <row r="117" spans="2:14" hidden="1">
      <c r="B117" s="184" t="str">
        <f>+IF(Calculo!E13="S",+Calculo!BL66," ")</f>
        <v xml:space="preserve"> </v>
      </c>
      <c r="C117" s="317" t="str">
        <f>IF(B117=" "," ",+C111)</f>
        <v xml:space="preserve"> </v>
      </c>
      <c r="D117" s="186" t="str">
        <f>+IF(Ingreso!D23="N",IF(B117=" "," ",Calculo!BM66)," ")</f>
        <v xml:space="preserve"> </v>
      </c>
      <c r="E117" s="183"/>
      <c r="F117" s="318" t="str">
        <f>IF(B117=" "," ",Calculo!BO66)</f>
        <v xml:space="preserve"> </v>
      </c>
      <c r="G117" s="318" t="str">
        <f>IF(B117=" "," ",IF(B117="","",F117*C117))</f>
        <v xml:space="preserve"> </v>
      </c>
      <c r="K117" s="107" t="e">
        <f>+VLOOKUP(B117,CP_2026!$B$18:$L$55,3,0)</f>
        <v>#N/A</v>
      </c>
      <c r="L117" s="107" t="e">
        <f t="shared" si="4"/>
        <v>#N/A</v>
      </c>
      <c r="N117" s="133"/>
    </row>
    <row r="118" spans="2:14" hidden="1">
      <c r="B118" s="181" t="str">
        <f>+IF(Calculo!P94="N",Calculo!AR138," ")</f>
        <v xml:space="preserve"> </v>
      </c>
      <c r="C118" s="317" t="str">
        <f>IF(B118=" "," ",+C112*4)</f>
        <v xml:space="preserve"> </v>
      </c>
      <c r="D118" s="186" t="str">
        <f>IF(B118=" "," ",Calculo!AS138)</f>
        <v xml:space="preserve"> </v>
      </c>
      <c r="E118" s="183"/>
      <c r="F118" s="318" t="str">
        <f>IF(B118=" "," ",Calculo!AU138)</f>
        <v xml:space="preserve"> </v>
      </c>
      <c r="G118" s="318" t="str">
        <f>IF(B118=" "," ",IF(B118="","",F118*C118))</f>
        <v xml:space="preserve"> </v>
      </c>
      <c r="K118" s="107" t="str">
        <f>IF(B118=" "," ",+VLOOKUP(B118,CP_2026!$B$28:$L$55,3,0))</f>
        <v xml:space="preserve"> </v>
      </c>
      <c r="L118" s="107" t="str">
        <f>+IF(B118=" "," ",K118*C118)</f>
        <v xml:space="preserve"> </v>
      </c>
    </row>
    <row r="119" spans="2:14" hidden="1">
      <c r="B119" s="181" t="str">
        <f>+IF(Calculo!E121="S",Calculo!BL138," ")</f>
        <v xml:space="preserve"> </v>
      </c>
      <c r="C119" s="193" t="str">
        <f>IF(B119=" "," ",C111)</f>
        <v xml:space="preserve"> </v>
      </c>
      <c r="D119" s="178" t="str">
        <f>IF(B119=" "," ",Calculo!BM138)</f>
        <v xml:space="preserve"> </v>
      </c>
      <c r="E119" s="179"/>
      <c r="F119" s="318" t="str">
        <f>IF(B119=" "," ",Calculo!BO138)</f>
        <v xml:space="preserve"> </v>
      </c>
      <c r="G119" s="318" t="str">
        <f>IF(B119=" "," ",IF(B119="","",F119*C119))</f>
        <v xml:space="preserve"> </v>
      </c>
      <c r="K119" s="107" t="str">
        <f>+IF(B118=" "," ",VLOOKUP(B119,CP_2026!$B$28:$L$55,3,0))</f>
        <v xml:space="preserve"> </v>
      </c>
      <c r="L119" s="107" t="str">
        <f>IF(B118=" "," ",+K119*C119)</f>
        <v xml:space="preserve"> </v>
      </c>
    </row>
    <row r="120" spans="2:14" hidden="1">
      <c r="B120" s="181" t="str">
        <f>+IF(Calculo!E121="S",Calculo!BG138," ")</f>
        <v xml:space="preserve"> </v>
      </c>
      <c r="C120" s="193" t="str">
        <f>IF(B119=" "," ",C119*3)</f>
        <v xml:space="preserve"> </v>
      </c>
      <c r="D120" s="186" t="str">
        <f>IF(B120=" "," ",+Calculo!BH138)</f>
        <v xml:space="preserve"> </v>
      </c>
      <c r="E120" s="179"/>
      <c r="F120" s="318" t="str">
        <f>IF(B120=" "," ",Calculo!BJ138)</f>
        <v xml:space="preserve"> </v>
      </c>
      <c r="G120" s="318" t="str">
        <f>IF(B120=" "," ",IF(B120="","",F120*C120))</f>
        <v xml:space="preserve"> </v>
      </c>
      <c r="K120" s="107" t="str">
        <f>+IF(B118=" "," ",VLOOKUP(B120,CP_2026!$B$28:$L$55,3,0))</f>
        <v xml:space="preserve"> </v>
      </c>
      <c r="L120" s="107" t="str">
        <f>IF(B118=" "," ",+K120*C120)</f>
        <v xml:space="preserve"> </v>
      </c>
    </row>
    <row r="121" spans="2:14" hidden="1">
      <c r="B121" s="181"/>
      <c r="C121" s="193"/>
      <c r="D121" s="178"/>
      <c r="E121" s="179"/>
      <c r="F121" s="318"/>
      <c r="G121" s="318"/>
    </row>
    <row r="122" spans="2:14" hidden="1">
      <c r="B122" s="181"/>
      <c r="C122" s="317"/>
      <c r="D122" s="180"/>
      <c r="E122" s="179"/>
      <c r="F122" s="318"/>
      <c r="G122" s="318"/>
    </row>
    <row r="123" spans="2:14" hidden="1">
      <c r="B123" s="181"/>
      <c r="C123" s="317"/>
      <c r="D123" s="180"/>
      <c r="E123" s="179"/>
      <c r="F123" s="318"/>
      <c r="G123" s="318"/>
    </row>
    <row r="124" spans="2:14" hidden="1">
      <c r="B124" s="181"/>
      <c r="C124" s="317"/>
      <c r="D124" s="180"/>
      <c r="E124" s="179"/>
      <c r="F124" s="318"/>
      <c r="G124" s="318"/>
    </row>
    <row r="125" spans="2:14" hidden="1">
      <c r="B125" s="181"/>
      <c r="C125" s="319"/>
      <c r="D125" s="178"/>
      <c r="E125" s="179"/>
      <c r="F125" s="318"/>
      <c r="G125" s="318"/>
    </row>
    <row r="126" spans="2:14" hidden="1">
      <c r="B126" s="181"/>
      <c r="C126" s="317"/>
      <c r="D126" s="178"/>
      <c r="E126" s="179"/>
      <c r="F126" s="318"/>
      <c r="G126" s="318"/>
    </row>
    <row r="127" spans="2:14" hidden="1">
      <c r="B127" s="185"/>
      <c r="C127" s="317"/>
      <c r="D127" s="180"/>
      <c r="E127" s="179"/>
      <c r="F127" s="318"/>
      <c r="G127" s="318"/>
    </row>
    <row r="128" spans="2:14" hidden="1">
      <c r="B128" s="239"/>
      <c r="C128" s="320" t="s">
        <v>259</v>
      </c>
      <c r="D128" s="240"/>
      <c r="E128" s="241"/>
      <c r="F128" s="321"/>
      <c r="G128" s="322"/>
    </row>
    <row r="129" spans="2:15" hidden="1">
      <c r="B129" s="188">
        <f>+Calculo!BB66</f>
        <v>189205</v>
      </c>
      <c r="C129" s="311">
        <f>+Calculo!B60</f>
        <v>6</v>
      </c>
      <c r="D129" s="187" t="str">
        <f>+Calculo!BC66</f>
        <v>SPRAY VERDE 077 SEYER</v>
      </c>
      <c r="E129" s="135"/>
      <c r="F129" s="318">
        <f>+Calculo!BE66</f>
        <v>3.63</v>
      </c>
      <c r="G129" s="318">
        <f>IF(B129="","",F129*C129)</f>
        <v>21.78</v>
      </c>
      <c r="K129" s="107">
        <f>+VLOOKUP(B129,CP_2026!$B$28:$L$55,3,0)</f>
        <v>0.56000000000000005</v>
      </c>
      <c r="L129" s="107">
        <f>+K129*C129</f>
        <v>3.3600000000000003</v>
      </c>
    </row>
    <row r="130" spans="2:15" hidden="1">
      <c r="B130" s="188">
        <f>+Calculo!BG66</f>
        <v>683471</v>
      </c>
      <c r="C130" s="311">
        <f>+Calculo!B61</f>
        <v>2</v>
      </c>
      <c r="D130" s="187" t="str">
        <f>+Calculo!BH66</f>
        <v>SPRAY GALV FRIO</v>
      </c>
      <c r="E130" s="135"/>
      <c r="F130" s="318">
        <f>+Calculo!BJ66</f>
        <v>31.85</v>
      </c>
      <c r="G130" s="318">
        <f>IF(B130="","",F130*C130)</f>
        <v>63.7</v>
      </c>
      <c r="K130" s="107">
        <f>+VLOOKUP(B130,CP_2026!$B$28:$L$55,3,0)</f>
        <v>0.4</v>
      </c>
      <c r="L130" s="107">
        <f>+K130*C130</f>
        <v>0.8</v>
      </c>
    </row>
    <row r="131" spans="2:15" hidden="1">
      <c r="B131" s="189"/>
      <c r="C131" s="238"/>
      <c r="D131" s="218"/>
      <c r="E131" s="135"/>
      <c r="F131" s="318"/>
      <c r="G131" s="323"/>
    </row>
    <row r="132" spans="2:15" hidden="1">
      <c r="B132" s="189"/>
      <c r="C132" s="238"/>
      <c r="D132" s="218"/>
      <c r="E132" s="135"/>
      <c r="F132" s="318"/>
      <c r="G132" s="323"/>
    </row>
    <row r="133" spans="2:15" hidden="1">
      <c r="B133" s="189"/>
      <c r="C133" s="238"/>
      <c r="D133" s="218"/>
      <c r="E133" s="135"/>
      <c r="F133" s="318"/>
      <c r="G133" s="323"/>
    </row>
    <row r="134" spans="2:15" hidden="1">
      <c r="B134" s="189"/>
      <c r="C134" s="238"/>
      <c r="D134" s="218"/>
      <c r="E134" s="135"/>
      <c r="F134" s="318"/>
      <c r="G134" s="323"/>
    </row>
    <row r="135" spans="2:15" hidden="1">
      <c r="B135" s="189" t="str">
        <f>+IF(Ingreso!D22&lt;1200," ",+Calculo!BQ66)</f>
        <v xml:space="preserve"> </v>
      </c>
      <c r="C135" s="310" t="str">
        <f>IF(B135=" "," ",CEILING(Calculo!B59/30,1))</f>
        <v xml:space="preserve"> </v>
      </c>
      <c r="D135" s="228" t="str">
        <f>IF(B135=" "," ",+Calculo!BR66)</f>
        <v xml:space="preserve"> </v>
      </c>
      <c r="E135" s="135"/>
      <c r="F135" s="318" t="str">
        <f>+IF(B135=" "," ",Calculo!BS66)</f>
        <v xml:space="preserve"> </v>
      </c>
      <c r="G135" s="323" t="str">
        <f>IF(B135=" "," ",IF(B135="","",F135*C135))</f>
        <v xml:space="preserve"> </v>
      </c>
      <c r="K135" s="229" t="e">
        <f>+VLOOKUP(B135,CP_2026!$B$28:$L$110,3,0)</f>
        <v>#N/A</v>
      </c>
      <c r="L135" s="229" t="e">
        <f>+K135*C135</f>
        <v>#N/A</v>
      </c>
    </row>
    <row r="136" spans="2:15" hidden="1">
      <c r="B136" s="189" t="str">
        <f>+IF(Calculo!E121="S",Calculo!CJ138," ")</f>
        <v xml:space="preserve"> </v>
      </c>
      <c r="C136" s="238" t="str">
        <f>IF(B136=" "," ",Calculo!V133)</f>
        <v xml:space="preserve"> </v>
      </c>
      <c r="D136" s="218" t="str">
        <f>IF(B136=" "," ",Calculo!CK138)</f>
        <v xml:space="preserve"> </v>
      </c>
      <c r="E136" s="135"/>
      <c r="F136" s="318" t="str">
        <f>IF(B136=" "," ",Calculo!CL138)</f>
        <v xml:space="preserve"> </v>
      </c>
      <c r="G136" s="323" t="str">
        <f>IF(B136=" "," ",IF(B136="","",F136*C136))</f>
        <v xml:space="preserve"> </v>
      </c>
      <c r="K136" s="107" t="e">
        <f>+VLOOKUP(B136,CP_2026!$B$28:$L$111,3,0)</f>
        <v>#N/A</v>
      </c>
      <c r="L136" s="107" t="e">
        <f>+K136*C136</f>
        <v>#N/A</v>
      </c>
    </row>
    <row r="137" spans="2:15" hidden="1">
      <c r="B137" s="189"/>
      <c r="C137" s="238"/>
      <c r="D137" s="218"/>
      <c r="E137" s="135"/>
      <c r="F137" s="318"/>
      <c r="G137" s="323"/>
    </row>
    <row r="138" spans="2:15" hidden="1">
      <c r="B138" s="239"/>
      <c r="C138" s="320" t="s">
        <v>385</v>
      </c>
      <c r="D138" s="240"/>
      <c r="E138" s="241"/>
      <c r="F138" s="321"/>
      <c r="G138" s="322"/>
    </row>
    <row r="139" spans="2:15" hidden="1">
      <c r="B139" s="189" t="str">
        <f>++IF(O139="En blanco"," ",IF(Ingreso!$D$29="N"," ",+VLOOKUP(E139,CP_2026!$A$18:$L$25,2,TRUE)))</f>
        <v xml:space="preserve"> </v>
      </c>
      <c r="C139" s="257"/>
      <c r="D139" s="306"/>
      <c r="E139" s="435" t="e">
        <f>+MATCH(D139,CP_2026!$C$18:$C$25,0)</f>
        <v>#N/A</v>
      </c>
      <c r="F139" s="318" t="str">
        <f>IF(B139=" "," ",IF(Calculo!$E$10=Calculo!$I$3,+ROUND(H139*(1-Calculo!$J$3),2),+IF(Calculo!$E$10=Calculo!$I$4,+ROUND(H139*(1-Calculo!$J$4),2),+IF(Calculo!$E$10=Calculo!$I$5,+ROUND(H139*(1-Calculo!$J$5),2),+IF(Calculo!$E$10=Calculo!$I$6,+ROUND(H139*(1-Calculo!$J$6),2),+IF(Calculo!$E$10=Calculo!$I$7,+ROUND(H139*(1-Calculo!$J$7),2),+IF(Calculo!$E$10=Calculo!$I$8,+ROUND(H139*(1-Calculo!$J$8),2),H139)))))))</f>
        <v xml:space="preserve"> </v>
      </c>
      <c r="G139" s="323" t="str">
        <f>IF(B139=" "," ",IF(B139="","",F139*C139))</f>
        <v xml:space="preserve"> </v>
      </c>
      <c r="H139" s="107" t="e">
        <f>IF(B139="","",+VLOOKUP(B139,CP_2026!$B$18:$L$25,11,FALSE))</f>
        <v>#N/A</v>
      </c>
      <c r="K139" s="107" t="e">
        <f>+VLOOKUP(B139,CP_2026!$B$57:$L$77,3,0)</f>
        <v>#N/A</v>
      </c>
      <c r="L139" s="107" t="e">
        <f>+K139*C139</f>
        <v>#N/A</v>
      </c>
      <c r="O139" s="383" t="str">
        <f>IF(ISBLANK(C139),"En blanco","No está en blanco")</f>
        <v>En blanco</v>
      </c>
    </row>
    <row r="140" spans="2:15" hidden="1">
      <c r="B140" s="189" t="str">
        <f>++IF(O140="En blanco"," ",IF(Ingreso!$D$29="N"," ",+VLOOKUP(E140,CP_2026!$A$18:$L$25,2,TRUE)))</f>
        <v xml:space="preserve"> </v>
      </c>
      <c r="C140" s="257">
        <v>1</v>
      </c>
      <c r="D140" s="306" t="s">
        <v>33</v>
      </c>
      <c r="E140" s="435">
        <f>+MATCH(D140,CP_2026!$C$18:$C$25,0)</f>
        <v>2</v>
      </c>
      <c r="F140" s="318" t="str">
        <f>IF(B140=" "," ",IF(Calculo!$E$10=Calculo!$I$3,+ROUND(H140*(1-Calculo!$J$3),2),+IF(Calculo!$E$10=Calculo!$I$4,+ROUND(H140*(1-Calculo!$J$4),2),+IF(Calculo!$E$10=Calculo!$I$5,+ROUND(H140*(1-Calculo!$J$5),2),+IF(Calculo!$E$10=Calculo!$I$6,+ROUND(H140*(1-Calculo!$J$6),2),+IF(Calculo!$E$10=Calculo!$I$7,+ROUND(H140*(1-Calculo!$J$7),2),+IF(Calculo!$E$10=Calculo!$I$8,+ROUND(H140*(1-Calculo!$J$8),2),H140)))))))</f>
        <v xml:space="preserve"> </v>
      </c>
      <c r="G140" s="323" t="str">
        <f>IF(B140=" "," ",IF(B140="","",F140*C140))</f>
        <v xml:space="preserve"> </v>
      </c>
      <c r="H140" s="107" t="e">
        <f>IF(B140="","",+VLOOKUP(B140,CP_2026!$B$18:$L$25,11,FALSE))</f>
        <v>#N/A</v>
      </c>
      <c r="K140" s="107" t="e">
        <f>+VLOOKUP(B140,CP_2026!$B$57:$L$77,3,0)</f>
        <v>#N/A</v>
      </c>
      <c r="L140" s="107" t="e">
        <f>+K140*C140</f>
        <v>#N/A</v>
      </c>
      <c r="O140" s="383" t="str">
        <f t="shared" ref="O140:O146" si="5">IF(ISBLANK(C140),"En blanco","No está en blanco")</f>
        <v>No está en blanco</v>
      </c>
    </row>
    <row r="141" spans="2:15" hidden="1">
      <c r="B141" s="189" t="str">
        <f>++IF(O141="En blanco"," ",IF(Ingreso!$D$29="N"," ",+VLOOKUP(E141,CP_2026!$A$18:$L$25,2,TRUE)))</f>
        <v xml:space="preserve"> </v>
      </c>
      <c r="C141" s="257"/>
      <c r="D141" s="306"/>
      <c r="E141" s="435" t="e">
        <f>+MATCH(D141,CP_2026!$C$18:$C$25,0)</f>
        <v>#N/A</v>
      </c>
      <c r="F141" s="318" t="str">
        <f>IF(B141=" "," ",IF(Calculo!$E$10=Calculo!$I$3,+ROUND(H141*(1-Calculo!$J$3),2),+IF(Calculo!$E$10=Calculo!$I$4,+ROUND(H141*(1-Calculo!$J$4),2),+IF(Calculo!$E$10=Calculo!$I$5,+ROUND(H141*(1-Calculo!$J$5),2),+IF(Calculo!$E$10=Calculo!$I$6,+ROUND(H141*(1-Calculo!$J$6),2),+IF(Calculo!$E$10=Calculo!$I$7,+ROUND(H141*(1-Calculo!$J$7),2),+IF(Calculo!$E$10=Calculo!$I$8,+ROUND(H141*(1-Calculo!$J$8),2),H141)))))))</f>
        <v xml:space="preserve"> </v>
      </c>
      <c r="G141" s="323" t="str">
        <f>IF(B141=" "," ",IF(B141="","",F141*C141))</f>
        <v xml:space="preserve"> </v>
      </c>
      <c r="H141" s="107" t="e">
        <f>IF(B141="","",+VLOOKUP(B141,CP_2026!$B$18:$L$25,11,FALSE))</f>
        <v>#N/A</v>
      </c>
      <c r="K141" s="107" t="e">
        <f>+VLOOKUP(B141,CP_2026!$B$57:$L$77,3,0)</f>
        <v>#N/A</v>
      </c>
      <c r="L141" s="107" t="e">
        <f>+K141*C141</f>
        <v>#N/A</v>
      </c>
      <c r="O141" s="383" t="str">
        <f t="shared" si="5"/>
        <v>En blanco</v>
      </c>
    </row>
    <row r="142" spans="2:15" hidden="1">
      <c r="B142" s="239"/>
      <c r="C142" s="320"/>
      <c r="D142" s="241"/>
      <c r="E142" s="289"/>
      <c r="F142" s="321"/>
      <c r="G142" s="322"/>
    </row>
    <row r="143" spans="2:15" hidden="1">
      <c r="B143" s="269" t="str">
        <f>++IF(O143="En blanco"," ",IF(Ingreso!$D$29="N"," ",+VLOOKUP(E143,CP_2026!$A$18:$L$25,2,TRUE)))</f>
        <v xml:space="preserve"> </v>
      </c>
      <c r="C143" s="270"/>
      <c r="D143" s="307"/>
      <c r="E143" s="436" t="e">
        <f>+MATCH(D143,CP_2026!$C$18:$C$25,0)</f>
        <v>#N/A</v>
      </c>
      <c r="F143" s="345" t="str">
        <f>IF(B143=" "," ",IF(Calculo!$E$10=Calculo!$I$3,+ROUND(H143*(1-Calculo!$J$3),2),+IF(Calculo!$E$10=Calculo!$I$4,+ROUND(H143*(1-Calculo!$J$4),2),+IF(Calculo!$E$10=Calculo!$I$5,+ROUND(H143*(1-Calculo!$J$5),2),+IF(Calculo!$E$10=Calculo!$I$6,+ROUND(H143*(1-Calculo!$J$6),2),+IF(Calculo!$E$10=Calculo!$I$7,+ROUND(H143*(1-Calculo!$J$7),2),+IF(Calculo!$E$10=Calculo!$I$8,+ROUND(H143*(1-Calculo!$J$8),2),H143)))))))</f>
        <v xml:space="preserve"> </v>
      </c>
      <c r="G143" s="324" t="str">
        <f>IF(B143=" "," ",IF(B143="","",F143*C143))</f>
        <v xml:space="preserve"> </v>
      </c>
      <c r="H143" s="107" t="e">
        <f>IF(B143="","",+VLOOKUP(B143,CP_2026!$B$18:$L$25,11,FALSE))</f>
        <v>#N/A</v>
      </c>
      <c r="K143" s="107" t="e">
        <f>+VLOOKUP(B143,CP_2026!$B$57:$L$77,3,0)</f>
        <v>#N/A</v>
      </c>
      <c r="L143" s="107" t="e">
        <f>+K143*C143</f>
        <v>#N/A</v>
      </c>
      <c r="O143" s="383" t="str">
        <f t="shared" si="5"/>
        <v>En blanco</v>
      </c>
    </row>
    <row r="144" spans="2:15" hidden="1">
      <c r="B144" s="189" t="str">
        <f>++IF(O144="En blanco"," ",IF(Ingreso!$D$29="N"," ",+VLOOKUP(E144,CP_2026!$A$18:$L$25,2,TRUE)))</f>
        <v xml:space="preserve"> </v>
      </c>
      <c r="C144" s="257"/>
      <c r="D144" s="306"/>
      <c r="E144" s="435" t="e">
        <f>+MATCH(D144,CP_2026!$C$18:$C$25,0)</f>
        <v>#N/A</v>
      </c>
      <c r="F144" s="318" t="str">
        <f>IF(B144=" "," ",IF(Calculo!$E$10=Calculo!$I$3,+ROUND(H144*(1-Calculo!$J$3),2),+IF(Calculo!$E$10=Calculo!$I$4,+ROUND(H144*(1-Calculo!$J$4),2),+IF(Calculo!$E$10=Calculo!$I$5,+ROUND(H144*(1-Calculo!$J$5),2),+IF(Calculo!$E$10=Calculo!$I$6,+ROUND(H144*(1-Calculo!$J$6),2),+IF(Calculo!$E$10=Calculo!$I$7,+ROUND(H144*(1-Calculo!$J$7),2),+IF(Calculo!$E$10=Calculo!$I$8,+ROUND(H144*(1-Calculo!$J$8),2),H144)))))))</f>
        <v xml:space="preserve"> </v>
      </c>
      <c r="G144" s="323" t="str">
        <f>IF(B144=" "," ",IF(B144="","",F144*C144))</f>
        <v xml:space="preserve"> </v>
      </c>
      <c r="H144" s="107" t="e">
        <f>IF(B144="","",+VLOOKUP(B144,CP_2026!$B$18:$L$25,11,FALSE))</f>
        <v>#N/A</v>
      </c>
      <c r="K144" s="107" t="e">
        <f>+VLOOKUP(B144,CP_2026!$B$57:$L$77,3,0)</f>
        <v>#N/A</v>
      </c>
      <c r="L144" s="107" t="e">
        <f>+K144*C144</f>
        <v>#N/A</v>
      </c>
      <c r="O144" s="383" t="str">
        <f t="shared" si="5"/>
        <v>En blanco</v>
      </c>
    </row>
    <row r="145" spans="2:15" hidden="1">
      <c r="B145" s="189" t="str">
        <f>++IF(O145="En blanco"," ",IF(Ingreso!$D$29="N"," ",+VLOOKUP(E145,CP_2026!$A$18:$L$25,2,TRUE)))</f>
        <v xml:space="preserve"> </v>
      </c>
      <c r="C145" s="257"/>
      <c r="D145" s="306"/>
      <c r="E145" s="435" t="e">
        <f>+MATCH(D145,CP_2026!$C$18:$C$25,0)</f>
        <v>#N/A</v>
      </c>
      <c r="F145" s="318" t="str">
        <f>IF(B145=" "," ",IF(Calculo!$E$10=Calculo!$I$3,+ROUND(H145*(1-Calculo!$J$3),2),+IF(Calculo!$E$10=Calculo!$I$4,+ROUND(H145*(1-Calculo!$J$4),2),+IF(Calculo!$E$10=Calculo!$I$5,+ROUND(H145*(1-Calculo!$J$5),2),+IF(Calculo!$E$10=Calculo!$I$6,+ROUND(H145*(1-Calculo!$J$6),2),+IF(Calculo!$E$10=Calculo!$I$7,+ROUND(H145*(1-Calculo!$J$7),2),+IF(Calculo!$E$10=Calculo!$I$8,+ROUND(H145*(1-Calculo!$J$8),2),H145)))))))</f>
        <v xml:space="preserve"> </v>
      </c>
      <c r="G145" s="323" t="str">
        <f>IF(B145=" "," ",IF(B145="","",F145*C145))</f>
        <v xml:space="preserve"> </v>
      </c>
      <c r="H145" s="107" t="e">
        <f>IF(B145="","",+VLOOKUP(B145,CP_2026!$B$18:$L$25,11,FALSE))</f>
        <v>#N/A</v>
      </c>
      <c r="K145" s="107" t="e">
        <f>+VLOOKUP(B145,CP_2026!$B$57:$L$77,3,0)</f>
        <v>#N/A</v>
      </c>
      <c r="L145" s="107" t="e">
        <f>+K145*C145</f>
        <v>#N/A</v>
      </c>
      <c r="O145" s="383" t="str">
        <f t="shared" si="5"/>
        <v>En blanco</v>
      </c>
    </row>
    <row r="146" spans="2:15" hidden="1">
      <c r="B146" s="271" t="str">
        <f>++IF(O146="En blanco"," ",IF(Ingreso!$D$29="N"," ",+VLOOKUP(E146,CP_2026!$A$18:$L$25,2,TRUE)))</f>
        <v xml:space="preserve"> </v>
      </c>
      <c r="C146" s="258"/>
      <c r="D146" s="308"/>
      <c r="E146" s="437" t="e">
        <f>+MATCH(D146,CP_2026!$C$18:$C$25,0)</f>
        <v>#N/A</v>
      </c>
      <c r="F146" s="346" t="str">
        <f>IF(B146=" "," ",IF(Calculo!$E$10=Calculo!$I$3,+ROUND(H146*(1-Calculo!$J$3),2),+IF(Calculo!$E$10=Calculo!$I$4,+ROUND(H146*(1-Calculo!$J$4),2),+IF(Calculo!$E$10=Calculo!$I$5,+ROUND(H146*(1-Calculo!$J$5),2),+IF(Calculo!$E$10=Calculo!$I$6,+ROUND(H146*(1-Calculo!$J$6),2),+IF(Calculo!$E$10=Calculo!$I$7,+ROUND(H146*(1-Calculo!$J$7),2),+IF(Calculo!$E$10=Calculo!$I$8,+ROUND(H146*(1-Calculo!$J$8),2),H146)))))))</f>
        <v xml:space="preserve"> </v>
      </c>
      <c r="G146" s="325" t="str">
        <f>IF(B146=" "," ",IF(B146="","",F146*C146))</f>
        <v xml:space="preserve"> </v>
      </c>
      <c r="H146" s="107" t="e">
        <f>IF(B146="","",+VLOOKUP(B146,CP_2026!$B$18:$L$25,11,FALSE))</f>
        <v>#N/A</v>
      </c>
      <c r="K146" s="107" t="e">
        <f>+VLOOKUP(B146,CP_2026!$B$57:$L$77,3,0)</f>
        <v>#N/A</v>
      </c>
      <c r="L146" s="107" t="e">
        <f>+K146*C146</f>
        <v>#N/A</v>
      </c>
      <c r="O146" s="383" t="str">
        <f t="shared" si="5"/>
        <v>En blanco</v>
      </c>
    </row>
    <row r="147" spans="2:15" hidden="1">
      <c r="B147" s="134" t="s">
        <v>165</v>
      </c>
      <c r="C147" s="259" t="str">
        <f>+L147&amp;" kg "</f>
        <v xml:space="preserve">1093.413 kg </v>
      </c>
      <c r="D147" s="256"/>
      <c r="E147" s="124"/>
      <c r="F147" s="326"/>
      <c r="G147" s="136"/>
      <c r="L147" s="107">
        <f>+SUMIF(L111:L146,"&gt;0")</f>
        <v>1093.4129999999998</v>
      </c>
    </row>
    <row r="148" spans="2:15" ht="13" hidden="1">
      <c r="C148" s="264"/>
      <c r="D148" s="134"/>
      <c r="E148" s="327" t="s">
        <v>166</v>
      </c>
      <c r="F148" s="328"/>
      <c r="G148" s="329">
        <f>SUM(G111:G147)</f>
        <v>6817.119999999999</v>
      </c>
    </row>
    <row r="149" spans="2:15" ht="13" hidden="1">
      <c r="C149" s="264"/>
      <c r="D149" s="134"/>
      <c r="E149" s="330"/>
      <c r="F149" s="326"/>
      <c r="G149" s="331"/>
    </row>
    <row r="150" spans="2:15" ht="13" hidden="1">
      <c r="C150" s="264"/>
      <c r="D150" s="137"/>
      <c r="E150" s="330"/>
      <c r="F150" s="326"/>
      <c r="G150" s="331"/>
    </row>
    <row r="151" spans="2:15" hidden="1">
      <c r="C151" s="264"/>
      <c r="D151" s="137"/>
      <c r="E151" s="332" t="s">
        <v>167</v>
      </c>
      <c r="F151" s="333"/>
      <c r="G151" s="334">
        <v>0</v>
      </c>
    </row>
    <row r="152" spans="2:15" hidden="1">
      <c r="C152" s="264"/>
      <c r="D152" s="134"/>
      <c r="E152" s="335" t="s">
        <v>168</v>
      </c>
      <c r="F152" s="136"/>
      <c r="G152" s="334">
        <f>+G148-G151</f>
        <v>6817.119999999999</v>
      </c>
    </row>
    <row r="153" spans="2:15" hidden="1">
      <c r="C153" s="264"/>
      <c r="D153" s="134"/>
      <c r="E153" s="335"/>
      <c r="F153" s="136"/>
      <c r="G153" s="334"/>
    </row>
    <row r="154" spans="2:15" ht="13" hidden="1">
      <c r="C154" s="264"/>
      <c r="D154" s="134"/>
      <c r="E154" s="330" t="s">
        <v>169</v>
      </c>
      <c r="F154" s="336"/>
      <c r="G154" s="334">
        <f>G152*0.12</f>
        <v>818.05439999999987</v>
      </c>
    </row>
    <row r="155" spans="2:15" ht="13" hidden="1">
      <c r="C155" s="264"/>
      <c r="D155" s="134"/>
      <c r="E155" s="330"/>
      <c r="F155" s="336"/>
      <c r="G155" s="334"/>
    </row>
    <row r="156" spans="2:15" ht="13.5" hidden="1" thickBot="1">
      <c r="C156" s="264"/>
      <c r="D156" s="134"/>
      <c r="E156" s="337" t="s">
        <v>170</v>
      </c>
      <c r="F156" s="338" t="str">
        <f>+Calculo!E56</f>
        <v>Franquicia</v>
      </c>
      <c r="G156" s="339">
        <f>G152+G154</f>
        <v>7635.174399999999</v>
      </c>
    </row>
    <row r="157" spans="2:15" ht="18" hidden="1">
      <c r="C157" s="118"/>
      <c r="D157" s="125"/>
      <c r="E157" s="139"/>
      <c r="F157" s="139"/>
      <c r="G157" s="140"/>
    </row>
    <row r="158" spans="2:15" ht="15.5" hidden="1">
      <c r="C158" s="118"/>
      <c r="D158" s="125"/>
    </row>
    <row r="159" spans="2:15" ht="15.5" hidden="1">
      <c r="C159" s="118"/>
      <c r="D159" s="141"/>
      <c r="E159" s="340"/>
      <c r="F159" s="142"/>
      <c r="G159" s="341"/>
    </row>
    <row r="160" spans="2:15" ht="15.5" hidden="1">
      <c r="B160" s="342" t="s">
        <v>171</v>
      </c>
      <c r="C160" s="183"/>
      <c r="D160" s="177"/>
      <c r="E160" s="190"/>
      <c r="F160" s="191"/>
      <c r="G160" s="138"/>
    </row>
    <row r="161" spans="2:15" ht="15.5" hidden="1">
      <c r="C161" s="183"/>
      <c r="D161" s="177"/>
      <c r="E161" s="190"/>
      <c r="F161" s="190"/>
    </row>
    <row r="162" spans="2:15" ht="15.5" hidden="1">
      <c r="B162" s="109" t="s">
        <v>172</v>
      </c>
      <c r="D162" s="109"/>
      <c r="E162" s="190"/>
      <c r="F162" s="191"/>
      <c r="G162" s="138"/>
    </row>
    <row r="163" spans="2:15" ht="15.5" hidden="1">
      <c r="B163" s="177"/>
      <c r="C163" s="343"/>
      <c r="D163" s="177"/>
      <c r="E163" s="190"/>
      <c r="F163" s="191"/>
      <c r="G163" s="138"/>
    </row>
    <row r="164" spans="2:15" ht="15.5" hidden="1">
      <c r="B164" s="177"/>
      <c r="C164" s="343"/>
      <c r="D164" s="177"/>
      <c r="E164" s="190"/>
      <c r="F164" s="191"/>
      <c r="G164" s="138"/>
    </row>
    <row r="165" spans="2:15" ht="15.5" hidden="1">
      <c r="C165" s="265"/>
      <c r="D165" s="104"/>
      <c r="E165" s="125"/>
      <c r="F165" s="143"/>
      <c r="G165" s="104"/>
    </row>
    <row r="166" spans="2:15" ht="15.5" hidden="1">
      <c r="C166" s="118"/>
      <c r="E166" s="125"/>
      <c r="F166" s="143"/>
      <c r="G166" s="104"/>
    </row>
    <row r="167" spans="2:15" ht="15.5" hidden="1">
      <c r="B167" s="125" t="s">
        <v>173</v>
      </c>
      <c r="E167" s="144"/>
      <c r="F167" s="145"/>
      <c r="G167" s="138"/>
    </row>
    <row r="168" spans="2:15" ht="15.5" hidden="1">
      <c r="E168" s="144"/>
      <c r="F168" s="145"/>
      <c r="G168" s="138"/>
    </row>
    <row r="169" spans="2:15" ht="15.5" hidden="1">
      <c r="B169" s="107" t="str">
        <f>+Ingreso!D35</f>
        <v>Naranjo Melanie</v>
      </c>
      <c r="C169" s="266"/>
      <c r="E169" s="144"/>
      <c r="F169" s="145"/>
    </row>
    <row r="170" spans="2:15" ht="15.5" hidden="1">
      <c r="B170" s="107" t="str">
        <f>+VLOOKUP(B83,'DATOS PARTIDA'!I3:K47,2,FALSE)</f>
        <v>melanie.naranjo@bekaert.com</v>
      </c>
      <c r="C170" s="266"/>
      <c r="D170" s="133" t="str">
        <f>+VLOOKUP(B83,'DATOS PARTIDA'!I3:K47,3,FALSE)</f>
        <v>+593 98 535 0069</v>
      </c>
      <c r="E170" s="144"/>
      <c r="F170" s="145"/>
      <c r="G170" s="595" t="str">
        <f>+CP_2026!A5</f>
        <v>LISTA DE PRECIOS 
VIGENTE  AGOSTO DE 2026</v>
      </c>
    </row>
    <row r="171" spans="2:15" ht="15.5" hidden="1">
      <c r="C171" s="266"/>
      <c r="E171" s="144"/>
      <c r="F171" s="145"/>
      <c r="G171" s="595"/>
    </row>
    <row r="172" spans="2:15" ht="15.5" hidden="1">
      <c r="B172" s="144" t="s">
        <v>215</v>
      </c>
      <c r="E172" s="144"/>
      <c r="G172" s="595"/>
    </row>
    <row r="173" spans="2:15" s="99" customFormat="1" ht="18" hidden="1">
      <c r="B173" s="592" t="s">
        <v>217</v>
      </c>
      <c r="C173" s="592"/>
      <c r="D173" s="592"/>
      <c r="E173" s="592"/>
      <c r="F173" s="98"/>
      <c r="G173" s="98"/>
      <c r="O173" s="384"/>
    </row>
    <row r="174" spans="2:15" s="99" customFormat="1" ht="18.5" hidden="1" thickBot="1">
      <c r="B174" s="593" t="str">
        <f>+Ingreso!F4</f>
        <v>RECUBRIMIENTO: DUPLEX ( GALVANIZADO + POLIESTER )</v>
      </c>
      <c r="C174" s="594"/>
      <c r="D174" s="594"/>
      <c r="E174" s="594"/>
      <c r="F174" s="100"/>
      <c r="G174" s="100"/>
      <c r="O174" s="384"/>
    </row>
    <row r="175" spans="2:15" s="99" customFormat="1" ht="18.5" hidden="1" thickTop="1">
      <c r="B175" s="101"/>
      <c r="C175" s="101"/>
      <c r="D175" s="101"/>
      <c r="E175" s="101"/>
      <c r="F175" s="102"/>
      <c r="G175" s="102"/>
      <c r="O175" s="384"/>
    </row>
    <row r="176" spans="2:15" ht="14" hidden="1">
      <c r="B176" s="103" t="s">
        <v>144</v>
      </c>
      <c r="C176" s="136"/>
      <c r="D176" s="104"/>
      <c r="E176" s="105" t="s">
        <v>145</v>
      </c>
      <c r="F176" s="105"/>
    </row>
    <row r="177" spans="2:7" ht="13" hidden="1">
      <c r="B177" s="105" t="s">
        <v>113</v>
      </c>
      <c r="C177" s="136"/>
      <c r="D177" s="104"/>
      <c r="E177" s="105" t="s">
        <v>146</v>
      </c>
      <c r="F177" s="105"/>
      <c r="G177" s="108"/>
    </row>
    <row r="178" spans="2:7" ht="15.5" hidden="1">
      <c r="B178" s="109" t="s">
        <v>147</v>
      </c>
      <c r="E178" s="105" t="s">
        <v>148</v>
      </c>
      <c r="F178" s="313"/>
      <c r="G178" s="110"/>
    </row>
    <row r="179" spans="2:7" ht="15.5" hidden="1">
      <c r="B179" s="109" t="s">
        <v>149</v>
      </c>
      <c r="E179" s="105" t="s">
        <v>174</v>
      </c>
      <c r="F179" s="106"/>
    </row>
    <row r="180" spans="2:7" ht="15.5" hidden="1">
      <c r="B180" s="109" t="s">
        <v>150</v>
      </c>
      <c r="F180" s="106"/>
      <c r="G180" s="111" t="s">
        <v>151</v>
      </c>
    </row>
    <row r="181" spans="2:7" ht="16" hidden="1" thickBot="1">
      <c r="B181" s="112"/>
      <c r="C181" s="260"/>
      <c r="D181" s="113"/>
      <c r="E181" s="112"/>
      <c r="F181" s="114"/>
      <c r="G181" s="115" t="s">
        <v>152</v>
      </c>
    </row>
    <row r="182" spans="2:7" ht="15.5" hidden="1">
      <c r="D182" s="106"/>
      <c r="G182" s="116"/>
    </row>
    <row r="183" spans="2:7" ht="15.5" hidden="1">
      <c r="B183" s="117" t="s">
        <v>153</v>
      </c>
      <c r="D183" s="118"/>
    </row>
    <row r="184" spans="2:7" ht="15.5" hidden="1">
      <c r="B184" s="117"/>
      <c r="D184" s="118"/>
      <c r="F184" s="119" t="s">
        <v>154</v>
      </c>
      <c r="G184" s="107" t="str">
        <f>+Ingreso!D12</f>
        <v>sangolqui</v>
      </c>
    </row>
    <row r="185" spans="2:7" hidden="1">
      <c r="B185" s="120" t="str">
        <f>+Ingreso!D8</f>
        <v>XXXXXXX</v>
      </c>
      <c r="C185" s="261"/>
      <c r="D185" s="120"/>
      <c r="F185" s="121" t="s">
        <v>155</v>
      </c>
      <c r="G185" s="122">
        <f>+Ingreso!D15</f>
        <v>44845</v>
      </c>
    </row>
    <row r="186" spans="2:7" hidden="1">
      <c r="B186" s="120" t="str">
        <f>+Ingreso!D9</f>
        <v>eqwqe</v>
      </c>
      <c r="C186" s="261"/>
      <c r="D186" s="120"/>
      <c r="F186" s="119" t="s">
        <v>156</v>
      </c>
      <c r="G186" s="146" t="str">
        <f>+Ingreso!D13</f>
        <v>2222222adas</v>
      </c>
    </row>
    <row r="187" spans="2:7" hidden="1">
      <c r="B187" s="120" t="str">
        <f>+Ingreso!D10</f>
        <v>Quito Norte</v>
      </c>
      <c r="C187" s="261"/>
      <c r="D187" s="120"/>
      <c r="F187" s="123" t="s">
        <v>157</v>
      </c>
      <c r="G187" s="119" t="str">
        <f>+Ingreso!D14</f>
        <v>123@gmail.com</v>
      </c>
    </row>
    <row r="188" spans="2:7" hidden="1">
      <c r="F188" s="123"/>
      <c r="G188" s="119"/>
    </row>
    <row r="189" spans="2:7" ht="16" hidden="1" thickBot="1">
      <c r="B189" s="112"/>
      <c r="C189" s="260"/>
      <c r="D189" s="113"/>
      <c r="E189" s="112"/>
      <c r="F189" s="114"/>
      <c r="G189" s="115" t="s">
        <v>152</v>
      </c>
    </row>
    <row r="190" spans="2:7" ht="15.5" hidden="1">
      <c r="D190" s="106"/>
    </row>
    <row r="191" spans="2:7" ht="15.5" hidden="1">
      <c r="B191" s="125" t="s">
        <v>158</v>
      </c>
      <c r="D191" s="125"/>
      <c r="E191" s="124"/>
      <c r="F191" s="106"/>
      <c r="G191" s="106"/>
    </row>
    <row r="192" spans="2:7" ht="15.5" hidden="1">
      <c r="C192" s="262"/>
      <c r="D192" s="125"/>
      <c r="E192" s="124"/>
      <c r="F192" s="126"/>
      <c r="G192" s="126"/>
    </row>
    <row r="193" spans="2:14" hidden="1">
      <c r="B193" s="586" t="s">
        <v>159</v>
      </c>
      <c r="C193" s="588" t="s">
        <v>160</v>
      </c>
      <c r="D193" s="588" t="s">
        <v>161</v>
      </c>
      <c r="E193" s="590"/>
      <c r="F193" s="586" t="s">
        <v>162</v>
      </c>
      <c r="G193" s="586" t="s">
        <v>163</v>
      </c>
      <c r="K193" s="585" t="s">
        <v>131</v>
      </c>
      <c r="L193" s="585" t="s">
        <v>212</v>
      </c>
    </row>
    <row r="194" spans="2:14" hidden="1">
      <c r="B194" s="587"/>
      <c r="C194" s="589"/>
      <c r="D194" s="589"/>
      <c r="E194" s="591"/>
      <c r="F194" s="587"/>
      <c r="G194" s="587"/>
      <c r="K194" s="585"/>
      <c r="L194" s="585"/>
    </row>
    <row r="195" spans="2:14" hidden="1">
      <c r="B195" s="127"/>
      <c r="C195" s="203">
        <f>+Calculo!B76</f>
        <v>130</v>
      </c>
      <c r="D195" s="128" t="str">
        <f>+" CERCAS PRO "&amp;Ingreso!$C$4&amp;" "&amp;Ingreso!$D$27&amp;" h = 1,25"</f>
        <v xml:space="preserve"> CERCAS PRO PERIMETRAL VERDE h = 1,25</v>
      </c>
      <c r="E195" s="129"/>
      <c r="F195" s="314"/>
      <c r="G195" s="129"/>
    </row>
    <row r="196" spans="2:14" hidden="1">
      <c r="B196" s="347"/>
      <c r="C196" s="267"/>
      <c r="D196" s="131"/>
      <c r="E196" s="132"/>
      <c r="F196" s="315" t="s">
        <v>164</v>
      </c>
      <c r="G196" s="316"/>
    </row>
    <row r="197" spans="2:14" hidden="1">
      <c r="B197" s="184">
        <f>+Calculo!A91</f>
        <v>270428</v>
      </c>
      <c r="C197" s="230">
        <f>+Calculo!B77</f>
        <v>87</v>
      </c>
      <c r="D197" s="227" t="str">
        <f>+Calculo!B91</f>
        <v>Pro Intradom 1,25x1,50m Verde</v>
      </c>
      <c r="E197" s="183"/>
      <c r="F197" s="318">
        <f>+Calculo!H91</f>
        <v>27.94</v>
      </c>
      <c r="G197" s="318">
        <f t="shared" ref="G197:G202" si="6">IF(B197="","",F197*C197)</f>
        <v>2430.7800000000002</v>
      </c>
      <c r="K197" s="107">
        <f>+VLOOKUP(B197,CP_2026!$B$8:$L$55,3,0)</f>
        <v>4.97</v>
      </c>
      <c r="L197" s="107">
        <f>+K197*C197</f>
        <v>432.39</v>
      </c>
    </row>
    <row r="198" spans="2:14" hidden="1">
      <c r="B198" s="184">
        <f>+Calculo!J94</f>
        <v>270430</v>
      </c>
      <c r="C198" s="230">
        <f>+C197+1</f>
        <v>88</v>
      </c>
      <c r="D198" s="186" t="str">
        <f>+Calculo!K94</f>
        <v>Pro Intradom Kit Poste 1.70 Verde</v>
      </c>
      <c r="E198" s="183"/>
      <c r="F198" s="318">
        <f>IF(B198=" "," ",Calculo!Q91)</f>
        <v>29.59</v>
      </c>
      <c r="G198" s="318">
        <f t="shared" si="6"/>
        <v>2603.92</v>
      </c>
      <c r="K198" s="107">
        <f>+VLOOKUP(B198,CP_2026!$B$8:$L$55,3,0)</f>
        <v>2.3199999999999998</v>
      </c>
      <c r="L198" s="107">
        <f t="shared" ref="L198:L203" si="7">+K198*C198</f>
        <v>204.16</v>
      </c>
    </row>
    <row r="199" spans="2:14" hidden="1">
      <c r="B199" s="184">
        <f>+Calculo!S91</f>
        <v>270433</v>
      </c>
      <c r="C199" s="230">
        <f>+C197/C197</f>
        <v>1</v>
      </c>
      <c r="D199" s="186" t="str">
        <f>+Calculo!T91</f>
        <v>Pro Intradom Kit Puerta Verde</v>
      </c>
      <c r="E199" s="183"/>
      <c r="F199" s="318">
        <f>+Calculo!V94</f>
        <v>126.55</v>
      </c>
      <c r="G199" s="318">
        <f t="shared" si="6"/>
        <v>126.55</v>
      </c>
      <c r="K199" s="107">
        <f>+VLOOKUP(B199,CP_2026!$B$8:$L$55,3,0)</f>
        <v>9.73</v>
      </c>
      <c r="L199" s="107">
        <f t="shared" si="7"/>
        <v>9.73</v>
      </c>
    </row>
    <row r="200" spans="2:14" hidden="1">
      <c r="B200" s="184"/>
      <c r="C200" s="230"/>
      <c r="D200" s="178"/>
      <c r="E200" s="183"/>
      <c r="F200" s="318"/>
      <c r="G200" s="318" t="str">
        <f t="shared" si="6"/>
        <v/>
      </c>
      <c r="K200" s="107" t="e">
        <f>+VLOOKUP(B200,CP_2026!$B$8:$L$55,3,0)</f>
        <v>#N/A</v>
      </c>
      <c r="L200" s="107" t="e">
        <f t="shared" si="7"/>
        <v>#N/A</v>
      </c>
    </row>
    <row r="201" spans="2:14" hidden="1">
      <c r="B201" s="184"/>
      <c r="C201" s="230"/>
      <c r="D201" s="186"/>
      <c r="E201" s="183"/>
      <c r="F201" s="318"/>
      <c r="G201" s="318" t="str">
        <f t="shared" si="6"/>
        <v/>
      </c>
      <c r="K201" s="107" t="e">
        <f>+VLOOKUP(B201,CP_2026!$B$8:$L$55,3,0)</f>
        <v>#N/A</v>
      </c>
      <c r="L201" s="107" t="e">
        <f t="shared" si="7"/>
        <v>#N/A</v>
      </c>
    </row>
    <row r="202" spans="2:14" hidden="1">
      <c r="B202" s="181"/>
      <c r="C202" s="230"/>
      <c r="D202" s="186"/>
      <c r="E202" s="183"/>
      <c r="F202" s="318"/>
      <c r="G202" s="318" t="str">
        <f t="shared" si="6"/>
        <v/>
      </c>
      <c r="K202" s="107" t="e">
        <f>+VLOOKUP(B202,CP_2026!$B$8:$L$55,3,0)</f>
        <v>#N/A</v>
      </c>
      <c r="L202" s="107" t="e">
        <f t="shared" si="7"/>
        <v>#N/A</v>
      </c>
    </row>
    <row r="203" spans="2:14" hidden="1">
      <c r="B203" s="184" t="str">
        <f>+IF(Calculo!E192="S",+Calculo!CA219," ")</f>
        <v xml:space="preserve"> </v>
      </c>
      <c r="C203" s="348" t="str">
        <f>IF(B203=" "," ",+C197*4)</f>
        <v xml:space="preserve"> </v>
      </c>
      <c r="D203" s="186" t="str">
        <f>IF(B203=" "," ",+Calculo!CB216)</f>
        <v xml:space="preserve"> </v>
      </c>
      <c r="E203" s="183"/>
      <c r="F203" s="318" t="str">
        <f>IF(B203=" "," ",+Calculo!CD219)</f>
        <v xml:space="preserve"> </v>
      </c>
      <c r="G203" s="318" t="str">
        <f>IF(B203=" "," ",IF(B203="","",F203*C203))</f>
        <v xml:space="preserve"> </v>
      </c>
      <c r="K203" s="107" t="e">
        <f>+VLOOKUP(B203,CP_2026!$B$8:$L$55,3,0)</f>
        <v>#N/A</v>
      </c>
      <c r="L203" s="107" t="e">
        <f t="shared" si="7"/>
        <v>#N/A</v>
      </c>
      <c r="N203" s="133"/>
    </row>
    <row r="204" spans="2:14" hidden="1">
      <c r="B204" s="181" t="str">
        <f>+IF(Calculo!P182="N",Calculo!AR216," ")</f>
        <v xml:space="preserve"> </v>
      </c>
      <c r="C204" s="348" t="str">
        <f>IF(B204=" "," ",+C198*4)</f>
        <v xml:space="preserve"> </v>
      </c>
      <c r="D204" s="186" t="str">
        <f>IF(B204=" "," ",Calculo!AS216)</f>
        <v xml:space="preserve"> </v>
      </c>
      <c r="E204" s="183"/>
      <c r="F204" s="318" t="str">
        <f>IF(B204=" "," ",Calculo!AU216)</f>
        <v xml:space="preserve"> </v>
      </c>
      <c r="G204" s="318" t="str">
        <f>IF(B204=" "," ",IF(B204="","",F204*C204))</f>
        <v xml:space="preserve"> </v>
      </c>
      <c r="K204" s="107" t="str">
        <f>IF(B204=" "," ",+VLOOKUP(B204,CP_2026!$B$28:$L$55,3,0))</f>
        <v xml:space="preserve"> </v>
      </c>
      <c r="L204" s="107" t="str">
        <f>+IF(B204=" "," ",K204*C204)</f>
        <v xml:space="preserve"> </v>
      </c>
    </row>
    <row r="205" spans="2:14" hidden="1">
      <c r="B205" s="181" t="str">
        <f>+IF(Calculo!E193="S",Calculo!BL216," ")</f>
        <v xml:space="preserve"> </v>
      </c>
      <c r="C205" s="230" t="str">
        <f>IF(B205=" "," ",C197)</f>
        <v xml:space="preserve"> </v>
      </c>
      <c r="D205" s="178" t="str">
        <f>IF(B205=" "," ",Calculo!BM216)</f>
        <v xml:space="preserve"> </v>
      </c>
      <c r="E205" s="179"/>
      <c r="F205" s="318" t="str">
        <f>IF(B205=" "," ",Calculo!BO216)</f>
        <v xml:space="preserve"> </v>
      </c>
      <c r="G205" s="318" t="str">
        <f>IF(B205=" "," ",IF(B205="","",F205*C205))</f>
        <v xml:space="preserve"> </v>
      </c>
      <c r="K205" s="107" t="str">
        <f>+IF(B204=" "," ",VLOOKUP(B205,CP_2026!$B$28:$L$55,3,0))</f>
        <v xml:space="preserve"> </v>
      </c>
      <c r="L205" s="107" t="str">
        <f>IF(B204=" "," ",+K205*C205)</f>
        <v xml:space="preserve"> </v>
      </c>
    </row>
    <row r="206" spans="2:14" hidden="1">
      <c r="B206" s="181" t="str">
        <f>+IF(Calculo!E193="S",Calculo!BG216," ")</f>
        <v xml:space="preserve"> </v>
      </c>
      <c r="C206" s="230" t="str">
        <f>IF(B205=" "," ",C205*3)</f>
        <v xml:space="preserve"> </v>
      </c>
      <c r="D206" s="186" t="str">
        <f>IF(B206=" "," ",+Calculo!BH216)</f>
        <v xml:space="preserve"> </v>
      </c>
      <c r="E206" s="179"/>
      <c r="F206" s="318" t="str">
        <f>IF(B206=" "," ",Calculo!BJ216)</f>
        <v xml:space="preserve"> </v>
      </c>
      <c r="G206" s="318" t="str">
        <f>IF(B206=" "," ",IF(B206="","",F206*C206))</f>
        <v xml:space="preserve"> </v>
      </c>
      <c r="K206" s="107" t="str">
        <f>+IF(B204=" "," ",VLOOKUP(B206,CP_2026!$B$28:$L$55,3,0))</f>
        <v xml:space="preserve"> </v>
      </c>
      <c r="L206" s="107" t="str">
        <f>IF(B204=" "," ",+K206*C206)</f>
        <v xml:space="preserve"> </v>
      </c>
    </row>
    <row r="207" spans="2:14" hidden="1">
      <c r="B207" s="181"/>
      <c r="C207" s="230"/>
      <c r="D207" s="186"/>
      <c r="E207" s="179"/>
      <c r="F207" s="318"/>
      <c r="G207" s="318"/>
    </row>
    <row r="208" spans="2:14" hidden="1">
      <c r="B208" s="181"/>
      <c r="C208" s="230"/>
      <c r="D208" s="186"/>
      <c r="E208" s="179"/>
      <c r="F208" s="318"/>
      <c r="G208" s="318"/>
    </row>
    <row r="209" spans="2:12" hidden="1">
      <c r="B209" s="181"/>
      <c r="C209" s="230"/>
      <c r="D209" s="178"/>
      <c r="E209" s="179"/>
      <c r="F209" s="318"/>
      <c r="G209" s="318"/>
    </row>
    <row r="210" spans="2:12" hidden="1">
      <c r="B210" s="181"/>
      <c r="C210" s="348"/>
      <c r="D210" s="180"/>
      <c r="E210" s="179"/>
      <c r="F210" s="318"/>
      <c r="G210" s="318"/>
    </row>
    <row r="211" spans="2:12" hidden="1">
      <c r="B211" s="181"/>
      <c r="C211" s="349"/>
      <c r="D211" s="178"/>
      <c r="E211" s="179"/>
      <c r="F211" s="318"/>
      <c r="G211" s="318"/>
    </row>
    <row r="212" spans="2:12" hidden="1">
      <c r="B212" s="181"/>
      <c r="C212" s="348"/>
      <c r="D212" s="178"/>
      <c r="E212" s="179"/>
      <c r="F212" s="318"/>
      <c r="G212" s="318"/>
    </row>
    <row r="213" spans="2:12" hidden="1">
      <c r="B213" s="185"/>
      <c r="C213" s="348"/>
      <c r="D213" s="180"/>
      <c r="E213" s="179"/>
      <c r="F213" s="318"/>
      <c r="G213" s="318"/>
    </row>
    <row r="214" spans="2:12" hidden="1">
      <c r="B214" s="239"/>
      <c r="C214" s="320" t="s">
        <v>259</v>
      </c>
      <c r="D214" s="240"/>
      <c r="E214" s="241"/>
      <c r="F214" s="321"/>
      <c r="G214" s="322"/>
    </row>
    <row r="215" spans="2:12" hidden="1">
      <c r="B215" s="232">
        <f>+Calculo!AM91</f>
        <v>189205</v>
      </c>
      <c r="C215" s="312">
        <f>+Calculo!B13</f>
        <v>6</v>
      </c>
      <c r="D215" s="187" t="str">
        <f>+Calculo!AN91</f>
        <v>SPRAY VERDE 077 SEYER</v>
      </c>
      <c r="E215" s="135"/>
      <c r="F215" s="318">
        <f>+Calculo!AP91</f>
        <v>3.63</v>
      </c>
      <c r="G215" s="318">
        <f>IF(B215="","",F215*C215)</f>
        <v>21.78</v>
      </c>
      <c r="K215" s="107">
        <f>+VLOOKUP(B215,CP_2026!$B$28:$L$55,3,0)</f>
        <v>0.56000000000000005</v>
      </c>
      <c r="L215" s="107">
        <f>+K215*C215</f>
        <v>3.3600000000000003</v>
      </c>
    </row>
    <row r="216" spans="2:12" hidden="1">
      <c r="B216" s="233"/>
      <c r="C216" s="231"/>
      <c r="D216" s="187"/>
      <c r="E216" s="135"/>
      <c r="F216" s="318"/>
      <c r="G216" s="318"/>
      <c r="K216" s="107" t="e">
        <f>+VLOOKUP(#REF!,CP_2026!$B$28:$L$55,3,0)</f>
        <v>#REF!</v>
      </c>
      <c r="L216" s="107" t="e">
        <f>+K216*C216</f>
        <v>#REF!</v>
      </c>
    </row>
    <row r="217" spans="2:12" hidden="1">
      <c r="B217" s="234"/>
      <c r="C217" s="268"/>
      <c r="D217" s="218"/>
      <c r="E217" s="135"/>
      <c r="F217" s="318"/>
      <c r="G217" s="323"/>
    </row>
    <row r="218" spans="2:12" hidden="1">
      <c r="B218" s="233"/>
      <c r="C218" s="268"/>
      <c r="D218" s="218"/>
      <c r="E218" s="135"/>
      <c r="F218" s="318"/>
      <c r="G218" s="323"/>
    </row>
    <row r="219" spans="2:12" hidden="1">
      <c r="B219" s="233"/>
      <c r="C219" s="268"/>
      <c r="D219" s="218"/>
      <c r="E219" s="135"/>
      <c r="F219" s="318"/>
      <c r="G219" s="323"/>
    </row>
    <row r="220" spans="2:12" hidden="1">
      <c r="B220" s="233"/>
      <c r="C220" s="268"/>
      <c r="D220" s="218"/>
      <c r="E220" s="135"/>
      <c r="F220" s="318"/>
      <c r="G220" s="323"/>
    </row>
    <row r="221" spans="2:12" hidden="1">
      <c r="B221" s="233"/>
      <c r="C221" s="268"/>
      <c r="D221" s="228"/>
      <c r="E221" s="135"/>
      <c r="F221" s="318"/>
      <c r="G221" s="323"/>
      <c r="K221" s="229" t="e">
        <f>+VLOOKUP(B221,CP_2026!$B$28:$L$110,3,0)</f>
        <v>#N/A</v>
      </c>
      <c r="L221" s="229" t="e">
        <f>+K221*C221</f>
        <v>#N/A</v>
      </c>
    </row>
    <row r="222" spans="2:12" hidden="1">
      <c r="B222" s="233" t="str">
        <f>+IF(Calculo!E193="S",Calculo!CJ216," ")</f>
        <v xml:space="preserve"> </v>
      </c>
      <c r="C222" s="268" t="str">
        <f>IF(B222=" "," ",Calculo!V211)</f>
        <v xml:space="preserve"> </v>
      </c>
      <c r="D222" s="218" t="str">
        <f>IF(B222=" "," ",Calculo!CK216)</f>
        <v xml:space="preserve"> </v>
      </c>
      <c r="E222" s="135"/>
      <c r="F222" s="318" t="str">
        <f>IF(B222=" "," ",Calculo!CL216)</f>
        <v xml:space="preserve"> </v>
      </c>
      <c r="G222" s="323" t="str">
        <f>IF(B222=" "," ",IF(B222="","",F222*C222))</f>
        <v xml:space="preserve"> </v>
      </c>
      <c r="K222" s="107" t="e">
        <f>+VLOOKUP(B222,CP_2026!$B$28:$L$111,3,0)</f>
        <v>#N/A</v>
      </c>
      <c r="L222" s="107" t="e">
        <f>+K222*C222</f>
        <v>#N/A</v>
      </c>
    </row>
    <row r="223" spans="2:12" hidden="1">
      <c r="B223" s="235"/>
      <c r="C223" s="268"/>
      <c r="D223" s="218"/>
      <c r="E223" s="135"/>
      <c r="F223" s="318"/>
      <c r="G223" s="323"/>
    </row>
    <row r="224" spans="2:12" hidden="1">
      <c r="B224" s="239"/>
      <c r="C224" s="320" t="s">
        <v>261</v>
      </c>
      <c r="D224" s="240"/>
      <c r="E224" s="241"/>
      <c r="F224" s="321"/>
      <c r="G224" s="322"/>
    </row>
    <row r="225" spans="2:15" hidden="1">
      <c r="B225" s="189" t="str">
        <f>++IF(O225="En blanco"," ",IF(Ingreso!$D$29="N"," ",+VLOOKUP(E225,CP_2026!$A$9:$L$16,2,TRUE)))</f>
        <v xml:space="preserve"> </v>
      </c>
      <c r="C225" s="257">
        <v>1</v>
      </c>
      <c r="D225" s="306" t="s">
        <v>23</v>
      </c>
      <c r="E225" s="435">
        <f>+MATCH(D225,CP_2026!$C$9:$C$16,0)</f>
        <v>4</v>
      </c>
      <c r="F225" s="318" t="str">
        <f>IF(B225=" "," ",IF(Calculo!$E$10=Calculo!$I$3,+ROUND(H225*(1-Calculo!$J$3),2),+IF(Calculo!$E$10=Calculo!$I$4,+ROUND(H225*(1-Calculo!$J$4),2),+IF(Calculo!$E$10=Calculo!$I$5,+ROUND(H225*(1-Calculo!$J$5),2),+IF(Calculo!$E$10=Calculo!$I$6,+ROUND(H225*(1-Calculo!$J$6),2),+IF(Calculo!$E$10=Calculo!$I$7,+ROUND(H225*(1-Calculo!$J$7),2),+IF(Calculo!$E$10=Calculo!$I$8,+ROUND(H225*(1-Calculo!$J$8),2),H225)))))))</f>
        <v xml:space="preserve"> </v>
      </c>
      <c r="G225" s="323" t="str">
        <f>IF(B225=" "," ",IF(B225="","",F225*C225))</f>
        <v xml:space="preserve"> </v>
      </c>
      <c r="H225" s="107" t="str">
        <f>++IF(O225="En blanco"," ",IF(Ingreso!$D$29="N"," ",+VLOOKUP(E225,CP_2026!$A$9:$L$16,12,TRUE)))</f>
        <v xml:space="preserve"> </v>
      </c>
      <c r="K225" s="107" t="e">
        <f>+VLOOKUP(B225,CP_2026!$B$57:$L$77,3,0)</f>
        <v>#N/A</v>
      </c>
      <c r="L225" s="107" t="e">
        <f>+K53*C53</f>
        <v>#N/A</v>
      </c>
      <c r="O225" s="383" t="str">
        <f>IF(ISBLANK(C225),"En blanco","No está en blanco")</f>
        <v>No está en blanco</v>
      </c>
    </row>
    <row r="226" spans="2:15" hidden="1">
      <c r="B226" s="189" t="str">
        <f>++IF(O226="En blanco"," ",IF(Ingreso!$D$29="N"," ",+VLOOKUP(E226,CP_2026!$A$9:$L$16,2,TRUE)))</f>
        <v xml:space="preserve"> </v>
      </c>
      <c r="C226" s="257"/>
      <c r="D226" s="306"/>
      <c r="E226" s="435" t="e">
        <f>+MATCH(D226,CP_2026!$C$9:$C$16,0)</f>
        <v>#N/A</v>
      </c>
      <c r="F226" s="318" t="str">
        <f>IF(B226=" "," ",IF(Calculo!$E$10=Calculo!$I$3,+ROUND(H226*(1-Calculo!$J$3),2),+IF(Calculo!$E$10=Calculo!$I$4,+ROUND(H226*(1-Calculo!$J$4),2),+IF(Calculo!$E$10=Calculo!$I$5,+ROUND(H226*(1-Calculo!$J$5),2),+IF(Calculo!$E$10=Calculo!$I$6,+ROUND(H226*(1-Calculo!$J$6),2),+IF(Calculo!$E$10=Calculo!$I$7,+ROUND(H226*(1-Calculo!$J$7),2),+IF(Calculo!$E$10=Calculo!$I$8,+ROUND(H226*(1-Calculo!$J$8),2),H226)))))))</f>
        <v xml:space="preserve"> </v>
      </c>
      <c r="G226" s="323" t="str">
        <f>IF(B226=" "," ",IF(B226="","",F226*C226))</f>
        <v xml:space="preserve"> </v>
      </c>
      <c r="H226" s="107" t="str">
        <f>++IF(O226="En blanco"," ",IF(Ingreso!$D$29="N"," ",+VLOOKUP(E226,CP_2026!$A$9:$L$16,12,TRUE)))</f>
        <v xml:space="preserve"> </v>
      </c>
      <c r="K226" s="107" t="e">
        <f>+VLOOKUP(B226,CP_2026!$B$57:$L$77,3,0)</f>
        <v>#N/A</v>
      </c>
      <c r="L226" s="107" t="e">
        <f t="shared" ref="L226:L232" si="8">+K54*C54</f>
        <v>#N/A</v>
      </c>
      <c r="O226" s="383" t="str">
        <f t="shared" ref="O226:O232" si="9">IF(ISBLANK(C226),"En blanco","No está en blanco")</f>
        <v>En blanco</v>
      </c>
    </row>
    <row r="227" spans="2:15" hidden="1">
      <c r="B227" s="189" t="str">
        <f>++IF(O227="En blanco"," ",IF(Ingreso!$D$29="N"," ",+VLOOKUP(E227,CP_2026!$A$9:$L$16,2,TRUE)))</f>
        <v xml:space="preserve"> </v>
      </c>
      <c r="C227" s="257"/>
      <c r="D227" s="306"/>
      <c r="E227" s="435" t="e">
        <f>+MATCH(D227,CP_2026!$C$9:$C$16,0)</f>
        <v>#N/A</v>
      </c>
      <c r="F227" s="318" t="str">
        <f>IF(B227=" "," ",IF(Calculo!$E$10=Calculo!$I$3,+ROUND(H227*(1-Calculo!$J$3),2),+IF(Calculo!$E$10=Calculo!$I$4,+ROUND(H227*(1-Calculo!$J$4),2),+IF(Calculo!$E$10=Calculo!$I$5,+ROUND(H227*(1-Calculo!$J$5),2),+IF(Calculo!$E$10=Calculo!$I$6,+ROUND(H227*(1-Calculo!$J$6),2),+IF(Calculo!$E$10=Calculo!$I$7,+ROUND(H227*(1-Calculo!$J$7),2),+IF(Calculo!$E$10=Calculo!$I$8,+ROUND(H227*(1-Calculo!$J$8),2),H227)))))))</f>
        <v xml:space="preserve"> </v>
      </c>
      <c r="G227" s="323" t="str">
        <f>IF(B227=" "," ",IF(B227="","",F227*C227))</f>
        <v xml:space="preserve"> </v>
      </c>
      <c r="H227" s="107" t="str">
        <f>++IF(O227="En blanco"," ",IF(Ingreso!$D$29="N"," ",+VLOOKUP(E227,CP_2026!$A$9:$L$16,12,TRUE)))</f>
        <v xml:space="preserve"> </v>
      </c>
      <c r="K227" s="107" t="e">
        <f>+VLOOKUP(B227,CP_2026!$B$57:$L$77,3,0)</f>
        <v>#N/A</v>
      </c>
      <c r="L227" s="107" t="e">
        <f t="shared" si="8"/>
        <v>#N/A</v>
      </c>
      <c r="O227" s="383" t="str">
        <f t="shared" si="9"/>
        <v>En blanco</v>
      </c>
    </row>
    <row r="228" spans="2:15" hidden="1">
      <c r="B228" s="239"/>
      <c r="C228" s="320" t="s">
        <v>260</v>
      </c>
      <c r="D228" s="241"/>
      <c r="E228" s="289"/>
      <c r="F228" s="321"/>
      <c r="G228" s="322"/>
    </row>
    <row r="229" spans="2:15" hidden="1">
      <c r="B229" s="269" t="str">
        <f>++IF(O229="En blanco"," ",IF(Ingreso!$D$29="N"," ",+VLOOKUP(E229,CP_2026!$A$9:$L$16,2,TRUE)))</f>
        <v xml:space="preserve"> </v>
      </c>
      <c r="C229" s="270"/>
      <c r="D229" s="307"/>
      <c r="E229" s="436">
        <v>1</v>
      </c>
      <c r="F229" s="345" t="str">
        <f>IF(B229=" "," ",IF(Calculo!$E$10=Calculo!$I$3,+ROUND(H229*(1-Calculo!$J$3),2),+IF(Calculo!$E$10=Calculo!$I$4,+ROUND(H229*(1-Calculo!$J$4),2),+IF(Calculo!$E$10=Calculo!$I$5,+ROUND(H229*(1-Calculo!$J$5),2),+IF(Calculo!$E$10=Calculo!$I$6,+ROUND(H229*(1-Calculo!$J$6),2),+IF(Calculo!$E$10=Calculo!$I$7,+ROUND(H229*(1-Calculo!$J$7),2),+IF(Calculo!$E$10=Calculo!$I$8,+ROUND(H229*(1-Calculo!$J$8),2),H229)))))))</f>
        <v xml:space="preserve"> </v>
      </c>
      <c r="G229" s="324" t="str">
        <f>IF(B229=" "," ",F229*C229)</f>
        <v xml:space="preserve"> </v>
      </c>
      <c r="H229" s="107" t="str">
        <f>++IF(O229="En blanco"," ",IF(Ingreso!$D$29="N"," ",+VLOOKUP(E229,CP_2026!$A$9:$L$16,12,TRUE)))</f>
        <v xml:space="preserve"> </v>
      </c>
      <c r="K229" s="107" t="e">
        <f>+VLOOKUP(B229,CP_2026!$B$57:$L$77,3,0)</f>
        <v>#N/A</v>
      </c>
      <c r="L229" s="107" t="e">
        <f t="shared" si="8"/>
        <v>#N/A</v>
      </c>
      <c r="O229" s="383" t="str">
        <f t="shared" si="9"/>
        <v>En blanco</v>
      </c>
    </row>
    <row r="230" spans="2:15" hidden="1">
      <c r="B230" s="189" t="str">
        <f>++IF(O230="En blanco"," ",IF(Ingreso!$D$29="N"," ",+VLOOKUP(E230,CP_2026!$A$9:$L$16,2,TRUE)))</f>
        <v xml:space="preserve"> </v>
      </c>
      <c r="C230" s="257"/>
      <c r="D230" s="306"/>
      <c r="E230" s="435" t="e">
        <f>+MATCH(D230,CP_2026!$C$9:$C$16,0)</f>
        <v>#N/A</v>
      </c>
      <c r="F230" s="318" t="str">
        <f>IF(B230=" "," ",IF(Calculo!$E$10=Calculo!$I$3,+ROUND(H230*(1-Calculo!$J$3),2),+IF(Calculo!$E$10=Calculo!$I$4,+ROUND(H230*(1-Calculo!$J$4),2),+IF(Calculo!$E$10=Calculo!$I$5,+ROUND(H230*(1-Calculo!$J$5),2),+IF(Calculo!$E$10=Calculo!$I$6,+ROUND(H230*(1-Calculo!$J$6),2),+IF(Calculo!$E$10=Calculo!$I$7,+ROUND(H230*(1-Calculo!$J$7),2),+IF(Calculo!$E$10=Calculo!$I$8,+ROUND(H230*(1-Calculo!$J$8),2),H230)))))))</f>
        <v xml:space="preserve"> </v>
      </c>
      <c r="G230" s="323" t="str">
        <f>IF(B230=" "," ",F230*C230)</f>
        <v xml:space="preserve"> </v>
      </c>
      <c r="H230" s="107" t="str">
        <f>++IF(O230="En blanco"," ",IF(Ingreso!$D$29="N"," ",+VLOOKUP(E230,CP_2026!$A$9:$L$16,12,TRUE)))</f>
        <v xml:space="preserve"> </v>
      </c>
      <c r="K230" s="107" t="e">
        <f>+VLOOKUP(B230,CP_2026!$B$57:$L$77,3,0)</f>
        <v>#N/A</v>
      </c>
      <c r="L230" s="107" t="e">
        <f t="shared" si="8"/>
        <v>#N/A</v>
      </c>
      <c r="O230" s="383" t="str">
        <f t="shared" si="9"/>
        <v>En blanco</v>
      </c>
    </row>
    <row r="231" spans="2:15" hidden="1">
      <c r="B231" s="189" t="str">
        <f>++IF(O231="En blanco"," ",IF(Ingreso!$D$29="N"," ",+VLOOKUP(E231,CP_2026!$A$9:$L$16,2,TRUE)))</f>
        <v xml:space="preserve"> </v>
      </c>
      <c r="C231" s="257"/>
      <c r="D231" s="306"/>
      <c r="E231" s="435" t="e">
        <f>+MATCH(D231,CP_2026!$C$9:$C$16,0)</f>
        <v>#N/A</v>
      </c>
      <c r="F231" s="318" t="str">
        <f>IF(B231=" "," ",IF(Calculo!$E$10=Calculo!$I$3,+ROUND(H231*(1-Calculo!$J$3),2),+IF(Calculo!$E$10=Calculo!$I$4,+ROUND(H231*(1-Calculo!$J$4),2),+IF(Calculo!$E$10=Calculo!$I$5,+ROUND(H231*(1-Calculo!$J$5),2),+IF(Calculo!$E$10=Calculo!$I$6,+ROUND(H231*(1-Calculo!$J$6),2),+IF(Calculo!$E$10=Calculo!$I$7,+ROUND(H231*(1-Calculo!$J$7),2),+IF(Calculo!$E$10=Calculo!$I$8,+ROUND(H231*(1-Calculo!$J$8),2),H231)))))))</f>
        <v xml:space="preserve"> </v>
      </c>
      <c r="G231" s="323" t="str">
        <f>IF(B231=" "," ",F231*C231)</f>
        <v xml:space="preserve"> </v>
      </c>
      <c r="H231" s="107" t="str">
        <f>++IF(O231="En blanco"," ",IF(Ingreso!$D$29="N"," ",+VLOOKUP(E231,CP_2026!$A$9:$L$16,12,TRUE)))</f>
        <v xml:space="preserve"> </v>
      </c>
      <c r="K231" s="107" t="e">
        <f>+VLOOKUP(B231,CP_2026!$B$57:$L$77,3,0)</f>
        <v>#N/A</v>
      </c>
      <c r="L231" s="107" t="e">
        <f t="shared" si="8"/>
        <v>#N/A</v>
      </c>
      <c r="O231" s="383" t="str">
        <f t="shared" si="9"/>
        <v>En blanco</v>
      </c>
    </row>
    <row r="232" spans="2:15" hidden="1">
      <c r="B232" s="271" t="str">
        <f>++IF(O232="En blanco"," ",IF(Ingreso!$D$29="N"," ",+VLOOKUP(E232,CP_2026!$A$9:$L$16,2,TRUE)))</f>
        <v xml:space="preserve"> </v>
      </c>
      <c r="C232" s="258"/>
      <c r="D232" s="308"/>
      <c r="E232" s="437" t="e">
        <f>+MATCH(D232,CP_2026!$C$9:$C$16,0)</f>
        <v>#N/A</v>
      </c>
      <c r="F232" s="346" t="str">
        <f>IF(B232=" "," ",IF(Calculo!$E$10=Calculo!$I$3,+ROUND(H232*(1-Calculo!$J$3),2),+IF(Calculo!$E$10=Calculo!$I$4,+ROUND(H232*(1-Calculo!$J$4),2),+IF(Calculo!$E$10=Calculo!$I$5,+ROUND(H232*(1-Calculo!$J$5),2),+IF(Calculo!$E$10=Calculo!$I$6,+ROUND(H232*(1-Calculo!$J$6),2),+IF(Calculo!$E$10=Calculo!$I$7,+ROUND(H232*(1-Calculo!$J$7),2),+IF(Calculo!$E$10=Calculo!$I$8,+ROUND(H232*(1-Calculo!$J$8),2),H232)))))))</f>
        <v xml:space="preserve"> </v>
      </c>
      <c r="G232" s="325" t="str">
        <f>IF(B232=" "," ",F232*C232)</f>
        <v xml:space="preserve"> </v>
      </c>
      <c r="H232" s="107" t="str">
        <f>++IF(O232="En blanco"," ",IF(Ingreso!$D$29="N"," ",+VLOOKUP(E232,CP_2026!$A$9:$L$16,12,TRUE)))</f>
        <v xml:space="preserve"> </v>
      </c>
      <c r="K232" s="107" t="e">
        <f>+VLOOKUP(B232,CP_2026!$B$57:$L$77,3,0)</f>
        <v>#N/A</v>
      </c>
      <c r="L232" s="107" t="e">
        <f t="shared" si="8"/>
        <v>#N/A</v>
      </c>
      <c r="O232" s="383" t="str">
        <f t="shared" si="9"/>
        <v>En blanco</v>
      </c>
    </row>
    <row r="233" spans="2:15" hidden="1">
      <c r="B233" s="134" t="s">
        <v>165</v>
      </c>
      <c r="C233" s="259" t="str">
        <f>+L233&amp;" kg "</f>
        <v xml:space="preserve">649.64 kg </v>
      </c>
      <c r="D233" s="256"/>
      <c r="E233" s="124"/>
      <c r="F233" s="326"/>
      <c r="G233" s="136"/>
      <c r="L233" s="107">
        <f>+SUMIF(L197:L232,"&gt;0")</f>
        <v>649.64</v>
      </c>
    </row>
    <row r="234" spans="2:15" ht="13" hidden="1">
      <c r="C234" s="264"/>
      <c r="D234" s="134"/>
      <c r="E234" s="327" t="s">
        <v>166</v>
      </c>
      <c r="F234" s="328"/>
      <c r="G234" s="329">
        <f>SUM(G197:G233)</f>
        <v>5183.0300000000007</v>
      </c>
    </row>
    <row r="235" spans="2:15" ht="13" hidden="1">
      <c r="C235" s="264"/>
      <c r="D235" s="134"/>
      <c r="E235" s="330"/>
      <c r="F235" s="326"/>
      <c r="G235" s="331"/>
    </row>
    <row r="236" spans="2:15" ht="13" hidden="1">
      <c r="C236" s="264"/>
      <c r="D236" s="137"/>
      <c r="E236" s="330"/>
      <c r="F236" s="326"/>
      <c r="G236" s="331"/>
    </row>
    <row r="237" spans="2:15" hidden="1">
      <c r="C237" s="264"/>
      <c r="D237" s="137"/>
      <c r="E237" s="332" t="s">
        <v>167</v>
      </c>
      <c r="F237" s="333"/>
      <c r="G237" s="334">
        <v>0</v>
      </c>
    </row>
    <row r="238" spans="2:15" hidden="1">
      <c r="C238" s="264"/>
      <c r="D238" s="134"/>
      <c r="E238" s="335" t="s">
        <v>168</v>
      </c>
      <c r="F238" s="136"/>
      <c r="G238" s="334">
        <f>+G234-G237</f>
        <v>5183.0300000000007</v>
      </c>
    </row>
    <row r="239" spans="2:15" hidden="1">
      <c r="C239" s="264"/>
      <c r="D239" s="134"/>
      <c r="E239" s="335"/>
      <c r="F239" s="136"/>
      <c r="G239" s="334"/>
    </row>
    <row r="240" spans="2:15" ht="13" hidden="1">
      <c r="C240" s="264"/>
      <c r="D240" s="134"/>
      <c r="E240" s="330" t="s">
        <v>169</v>
      </c>
      <c r="F240" s="336"/>
      <c r="G240" s="334">
        <f>G238*0.12</f>
        <v>621.96360000000004</v>
      </c>
    </row>
    <row r="241" spans="2:7" ht="13" hidden="1">
      <c r="C241" s="264"/>
      <c r="D241" s="134"/>
      <c r="E241" s="330"/>
      <c r="F241" s="336"/>
      <c r="G241" s="334"/>
    </row>
    <row r="242" spans="2:7" ht="13.5" hidden="1" thickBot="1">
      <c r="C242" s="264"/>
      <c r="D242" s="134"/>
      <c r="E242" s="337" t="s">
        <v>170</v>
      </c>
      <c r="F242" s="338" t="str">
        <f>+Calculo!E81</f>
        <v>Franquicia</v>
      </c>
      <c r="G242" s="339">
        <f>G238+G240</f>
        <v>5804.9936000000007</v>
      </c>
    </row>
    <row r="243" spans="2:7" ht="18" hidden="1">
      <c r="C243" s="118"/>
      <c r="D243" s="125"/>
      <c r="E243" s="139"/>
      <c r="F243" s="139"/>
      <c r="G243" s="140"/>
    </row>
    <row r="244" spans="2:7" ht="15.5" hidden="1">
      <c r="C244" s="118"/>
      <c r="D244" s="125"/>
    </row>
    <row r="245" spans="2:7" ht="15.5" hidden="1">
      <c r="C245" s="118"/>
      <c r="D245" s="141"/>
      <c r="E245" s="340"/>
      <c r="F245" s="142"/>
      <c r="G245" s="341"/>
    </row>
    <row r="246" spans="2:7" ht="15.5" hidden="1">
      <c r="B246" s="342" t="s">
        <v>171</v>
      </c>
      <c r="C246" s="183"/>
      <c r="D246" s="177"/>
      <c r="E246" s="190"/>
      <c r="F246" s="191"/>
      <c r="G246" s="138"/>
    </row>
    <row r="247" spans="2:7" ht="15.5" hidden="1">
      <c r="C247" s="183"/>
      <c r="D247" s="177"/>
      <c r="E247" s="190"/>
      <c r="F247" s="190"/>
    </row>
    <row r="248" spans="2:7" ht="15.5" hidden="1">
      <c r="B248" s="109" t="s">
        <v>172</v>
      </c>
      <c r="D248" s="109"/>
      <c r="E248" s="190"/>
      <c r="F248" s="191"/>
      <c r="G248" s="138"/>
    </row>
    <row r="249" spans="2:7" ht="15.5" hidden="1">
      <c r="B249" s="177"/>
      <c r="C249" s="343"/>
      <c r="D249" s="177"/>
      <c r="E249" s="190"/>
      <c r="F249" s="191"/>
      <c r="G249" s="138"/>
    </row>
    <row r="250" spans="2:7" ht="15.5" hidden="1">
      <c r="B250" s="177"/>
      <c r="C250" s="343"/>
      <c r="D250" s="177"/>
      <c r="E250" s="190"/>
      <c r="F250" s="191"/>
      <c r="G250" s="138"/>
    </row>
    <row r="251" spans="2:7" ht="15.5" hidden="1">
      <c r="C251" s="265"/>
      <c r="D251" s="104"/>
      <c r="E251" s="125"/>
      <c r="F251" s="143"/>
      <c r="G251" s="104"/>
    </row>
    <row r="252" spans="2:7" ht="15.5" hidden="1">
      <c r="C252" s="118"/>
      <c r="E252" s="125"/>
      <c r="F252" s="143"/>
      <c r="G252" s="104"/>
    </row>
    <row r="253" spans="2:7" ht="15.5" hidden="1">
      <c r="B253" s="125" t="s">
        <v>173</v>
      </c>
      <c r="E253" s="144"/>
      <c r="F253" s="145"/>
      <c r="G253" s="138"/>
    </row>
    <row r="254" spans="2:7" ht="15.5" hidden="1">
      <c r="E254" s="144"/>
      <c r="F254" s="145"/>
      <c r="G254" s="138"/>
    </row>
    <row r="255" spans="2:7" ht="15.5" hidden="1">
      <c r="B255" s="107" t="str">
        <f>+Ingreso!D35</f>
        <v>Naranjo Melanie</v>
      </c>
      <c r="C255" s="266"/>
      <c r="E255" s="144"/>
      <c r="F255" s="145"/>
    </row>
    <row r="256" spans="2:7" ht="15.5" hidden="1">
      <c r="B256" s="107" t="str">
        <f>+VLOOKUP(B83,'DATOS PARTIDA'!I3:K47,2,FALSE)</f>
        <v>melanie.naranjo@bekaert.com</v>
      </c>
      <c r="C256" s="266"/>
      <c r="D256" s="133" t="str">
        <f>+VLOOKUP(B83,'DATOS PARTIDA'!I3:K47,3,FALSE)</f>
        <v>+593 98 535 0069</v>
      </c>
      <c r="E256" s="144"/>
      <c r="F256" s="145"/>
      <c r="G256" s="595" t="str">
        <f>+CP_2026!A5</f>
        <v>LISTA DE PRECIOS 
VIGENTE  AGOSTO DE 2026</v>
      </c>
    </row>
    <row r="257" spans="2:15" ht="15.5" hidden="1">
      <c r="C257" s="266"/>
      <c r="E257" s="144"/>
      <c r="F257" s="145"/>
      <c r="G257" s="595"/>
    </row>
    <row r="258" spans="2:15" ht="15.5" hidden="1">
      <c r="B258" s="144" t="s">
        <v>215</v>
      </c>
      <c r="E258" s="144"/>
      <c r="G258" s="595"/>
    </row>
    <row r="259" spans="2:15" s="99" customFormat="1" ht="18" hidden="1">
      <c r="B259" s="592" t="s">
        <v>248</v>
      </c>
      <c r="C259" s="592"/>
      <c r="D259" s="592"/>
      <c r="E259" s="592"/>
      <c r="F259" s="98"/>
      <c r="G259" s="98"/>
      <c r="O259" s="384"/>
    </row>
    <row r="260" spans="2:15" s="99" customFormat="1" ht="18.5" hidden="1" thickBot="1">
      <c r="B260" s="593" t="str">
        <f>+Ingreso!F4</f>
        <v>RECUBRIMIENTO: DUPLEX ( GALVANIZADO + POLIESTER )</v>
      </c>
      <c r="C260" s="594"/>
      <c r="D260" s="594"/>
      <c r="E260" s="594"/>
      <c r="F260" s="100"/>
      <c r="G260" s="100"/>
      <c r="O260" s="384"/>
    </row>
    <row r="261" spans="2:15" s="99" customFormat="1" ht="18.5" hidden="1" thickTop="1">
      <c r="B261" s="101"/>
      <c r="C261" s="101"/>
      <c r="D261" s="101"/>
      <c r="E261" s="101"/>
      <c r="F261" s="102"/>
      <c r="G261" s="102"/>
      <c r="O261" s="384"/>
    </row>
    <row r="262" spans="2:15" ht="14" hidden="1">
      <c r="B262" s="103" t="s">
        <v>144</v>
      </c>
      <c r="C262" s="136"/>
      <c r="D262" s="104"/>
      <c r="E262" s="105" t="s">
        <v>145</v>
      </c>
      <c r="F262" s="105"/>
    </row>
    <row r="263" spans="2:15" ht="13" hidden="1">
      <c r="B263" s="105" t="s">
        <v>113</v>
      </c>
      <c r="C263" s="136"/>
      <c r="D263" s="104"/>
      <c r="E263" s="105" t="s">
        <v>146</v>
      </c>
      <c r="F263" s="105"/>
      <c r="G263" s="108"/>
    </row>
    <row r="264" spans="2:15" ht="15.5" hidden="1">
      <c r="B264" s="109" t="s">
        <v>147</v>
      </c>
      <c r="E264" s="105" t="s">
        <v>148</v>
      </c>
      <c r="F264" s="313"/>
      <c r="G264" s="110"/>
    </row>
    <row r="265" spans="2:15" ht="15.5" hidden="1">
      <c r="B265" s="109" t="s">
        <v>149</v>
      </c>
      <c r="E265" s="105" t="s">
        <v>174</v>
      </c>
      <c r="F265" s="106"/>
    </row>
    <row r="266" spans="2:15" ht="15.5" hidden="1">
      <c r="B266" s="109" t="s">
        <v>150</v>
      </c>
      <c r="F266" s="106"/>
      <c r="G266" s="111" t="s">
        <v>151</v>
      </c>
    </row>
    <row r="267" spans="2:15" ht="16" hidden="1" thickBot="1">
      <c r="B267" s="112"/>
      <c r="C267" s="260"/>
      <c r="D267" s="113"/>
      <c r="E267" s="112"/>
      <c r="F267" s="114"/>
      <c r="G267" s="115" t="s">
        <v>152</v>
      </c>
    </row>
    <row r="268" spans="2:15" ht="15.5" hidden="1">
      <c r="D268" s="106"/>
      <c r="G268" s="116"/>
    </row>
    <row r="269" spans="2:15" ht="15.5" hidden="1">
      <c r="B269" s="117" t="s">
        <v>153</v>
      </c>
      <c r="D269" s="118"/>
    </row>
    <row r="270" spans="2:15" ht="15.5" hidden="1">
      <c r="B270" s="117"/>
      <c r="D270" s="118"/>
      <c r="F270" s="119" t="s">
        <v>154</v>
      </c>
      <c r="G270" s="107" t="str">
        <f>+Ingreso!D12</f>
        <v>sangolqui</v>
      </c>
    </row>
    <row r="271" spans="2:15" hidden="1">
      <c r="B271" s="120" t="str">
        <f>+Ingreso!D8</f>
        <v>XXXXXXX</v>
      </c>
      <c r="C271" s="261"/>
      <c r="D271" s="120"/>
      <c r="F271" s="121" t="s">
        <v>155</v>
      </c>
      <c r="G271" s="122">
        <f>+Ingreso!D15</f>
        <v>44845</v>
      </c>
    </row>
    <row r="272" spans="2:15" hidden="1">
      <c r="B272" s="120" t="str">
        <f>+Ingreso!D9</f>
        <v>eqwqe</v>
      </c>
      <c r="C272" s="261"/>
      <c r="D272" s="120"/>
      <c r="F272" s="119" t="s">
        <v>156</v>
      </c>
      <c r="G272" s="146" t="str">
        <f>+Ingreso!D13</f>
        <v>2222222adas</v>
      </c>
    </row>
    <row r="273" spans="2:12" hidden="1">
      <c r="B273" s="120" t="str">
        <f>+Ingreso!D10</f>
        <v>Quito Norte</v>
      </c>
      <c r="C273" s="261"/>
      <c r="D273" s="120"/>
      <c r="F273" s="123" t="s">
        <v>157</v>
      </c>
      <c r="G273" s="119" t="str">
        <f>+Ingreso!D14</f>
        <v>123@gmail.com</v>
      </c>
    </row>
    <row r="274" spans="2:12" hidden="1">
      <c r="F274" s="123"/>
      <c r="G274" s="119"/>
    </row>
    <row r="275" spans="2:12" ht="16" hidden="1" thickBot="1">
      <c r="B275" s="112"/>
      <c r="C275" s="260"/>
      <c r="D275" s="113"/>
      <c r="E275" s="112"/>
      <c r="F275" s="114"/>
      <c r="G275" s="115" t="s">
        <v>152</v>
      </c>
    </row>
    <row r="276" spans="2:12" ht="15.5" hidden="1">
      <c r="D276" s="106"/>
    </row>
    <row r="277" spans="2:12" ht="15.5" hidden="1">
      <c r="B277" s="125" t="s">
        <v>158</v>
      </c>
      <c r="D277" s="125"/>
      <c r="E277" s="124"/>
      <c r="F277" s="106"/>
      <c r="G277" s="106"/>
    </row>
    <row r="278" spans="2:12" ht="15.5" hidden="1">
      <c r="C278" s="262"/>
      <c r="D278" s="125"/>
      <c r="E278" s="124"/>
      <c r="F278" s="126"/>
      <c r="G278" s="126"/>
    </row>
    <row r="279" spans="2:12" hidden="1">
      <c r="B279" s="586" t="s">
        <v>159</v>
      </c>
      <c r="C279" s="588" t="s">
        <v>160</v>
      </c>
      <c r="D279" s="588" t="s">
        <v>161</v>
      </c>
      <c r="E279" s="590"/>
      <c r="F279" s="586" t="s">
        <v>162</v>
      </c>
      <c r="G279" s="586" t="s">
        <v>163</v>
      </c>
      <c r="K279" s="585" t="s">
        <v>131</v>
      </c>
      <c r="L279" s="585" t="s">
        <v>212</v>
      </c>
    </row>
    <row r="280" spans="2:12" hidden="1">
      <c r="B280" s="587"/>
      <c r="C280" s="589"/>
      <c r="D280" s="589"/>
      <c r="E280" s="591"/>
      <c r="F280" s="587"/>
      <c r="G280" s="587"/>
      <c r="K280" s="585"/>
      <c r="L280" s="585"/>
    </row>
    <row r="281" spans="2:12" hidden="1">
      <c r="B281" s="127"/>
      <c r="C281" s="203">
        <f>+Calculo!B101</f>
        <v>130</v>
      </c>
      <c r="D281" s="128" t="str">
        <f>+" CERCAS PRO "&amp;Ingreso!$C$4&amp;" "&amp;Ingreso!$D$27&amp;" h = "&amp;Ingreso!E26&amp;" GRIS "</f>
        <v xml:space="preserve"> CERCAS PRO PERIMETRAL VERDE h = 3 GRIS </v>
      </c>
      <c r="E281" s="129"/>
      <c r="F281" s="314"/>
      <c r="G281" s="129"/>
    </row>
    <row r="282" spans="2:12" hidden="1">
      <c r="B282" s="130"/>
      <c r="C282" s="263"/>
      <c r="D282" s="131"/>
      <c r="E282" s="132"/>
      <c r="F282" s="315" t="s">
        <v>164</v>
      </c>
      <c r="G282" s="316"/>
    </row>
    <row r="283" spans="2:12" hidden="1">
      <c r="B283" s="184">
        <f>+Calculo!J117</f>
        <v>270439</v>
      </c>
      <c r="C283" s="193">
        <f>+Calculo!B103</f>
        <v>56</v>
      </c>
      <c r="D283" s="227" t="str">
        <f>+Calculo!K117</f>
        <v>Pro Max Seguridad Kit Poste 100x50x2 3,60m GRIS</v>
      </c>
      <c r="E283" s="183"/>
      <c r="F283" s="318">
        <f>+Calculo!Q117</f>
        <v>87.87</v>
      </c>
      <c r="G283" s="318">
        <f t="shared" ref="G283:G288" si="10">IF(B283="","",F283*C283)</f>
        <v>4920.72</v>
      </c>
      <c r="K283" s="107">
        <f>+VLOOKUP(B283,CP_2026!$B$8:$L$110,3,0)</f>
        <v>18.399999999999999</v>
      </c>
      <c r="L283" s="107">
        <f>+K283*C283</f>
        <v>1030.3999999999999</v>
      </c>
    </row>
    <row r="284" spans="2:12" hidden="1">
      <c r="B284" s="184">
        <f>+Calculo!S117</f>
        <v>270440</v>
      </c>
      <c r="C284" s="193">
        <f>+Calculo!B104</f>
        <v>56</v>
      </c>
      <c r="D284" s="186" t="str">
        <f>+Calculo!T117</f>
        <v>Pro Max Seguridad Tapa PVC Gris 100x50x2 Bekaert</v>
      </c>
      <c r="E284" s="183"/>
      <c r="F284" s="318">
        <f>+Calculo!V117</f>
        <v>2.0499999999999998</v>
      </c>
      <c r="G284" s="318">
        <f t="shared" si="10"/>
        <v>114.79999999999998</v>
      </c>
      <c r="K284" s="107">
        <f>+VLOOKUP(B284,CP_2026!$B$8:$L$110,3,0)</f>
        <v>0.09</v>
      </c>
      <c r="L284" s="107">
        <f t="shared" ref="L284:L289" si="11">+K284*C284</f>
        <v>5.04</v>
      </c>
    </row>
    <row r="285" spans="2:12" hidden="1">
      <c r="B285" s="184">
        <f>+Calculo!A117</f>
        <v>270436</v>
      </c>
      <c r="C285" s="193">
        <f>+C284-1</f>
        <v>55</v>
      </c>
      <c r="D285" s="186" t="str">
        <f>+Calculo!B117</f>
        <v>Pro Max Seguridad 3,00x2,4m GRIS</v>
      </c>
      <c r="E285" s="183"/>
      <c r="F285" s="318">
        <f>+Calculo!H117</f>
        <v>344.59</v>
      </c>
      <c r="G285" s="318">
        <f t="shared" si="10"/>
        <v>18952.449999999997</v>
      </c>
      <c r="K285" s="107">
        <f>+VLOOKUP(B285,CP_2026!$B$8:$L$110,3,0)</f>
        <v>70.319999999999993</v>
      </c>
      <c r="L285" s="107">
        <f t="shared" si="11"/>
        <v>3867.5999999999995</v>
      </c>
    </row>
    <row r="286" spans="2:12" hidden="1">
      <c r="B286" s="184">
        <f>+Calculo!AA117</f>
        <v>645392</v>
      </c>
      <c r="C286" s="193">
        <f>+Calculo!B105</f>
        <v>448</v>
      </c>
      <c r="D286" s="186" t="str">
        <f>+Calculo!AB117</f>
        <v>Pro Max Seguridad Fijación 40x40x11x3 paso 12,7 mm GRIS</v>
      </c>
      <c r="E286" s="183"/>
      <c r="F286" s="318">
        <f>+Calculo!AD117</f>
        <v>1.94</v>
      </c>
      <c r="G286" s="318">
        <f t="shared" si="10"/>
        <v>869.12</v>
      </c>
      <c r="K286" s="107">
        <f>+VLOOKUP(B286,CP_2026!$B$8:$L$110,3,0)</f>
        <v>0.04</v>
      </c>
      <c r="L286" s="107">
        <f t="shared" si="11"/>
        <v>17.920000000000002</v>
      </c>
    </row>
    <row r="287" spans="2:12" hidden="1">
      <c r="B287" s="184">
        <f>+Calculo!AG117</f>
        <v>645393</v>
      </c>
      <c r="C287" s="193">
        <f>+Calculo!B106</f>
        <v>448</v>
      </c>
      <c r="D287" s="186" t="str">
        <f>+Calculo!AH117</f>
        <v>Perno coche 1/4"X5" INOX 316 CHN</v>
      </c>
      <c r="E287" s="183"/>
      <c r="F287" s="318">
        <f>+Calculo!AJ117</f>
        <v>0.98</v>
      </c>
      <c r="G287" s="318">
        <f t="shared" si="10"/>
        <v>439.03999999999996</v>
      </c>
      <c r="K287" s="107">
        <f>+VLOOKUP(B287,CP_2026!$B$8:$L$110,3,0)</f>
        <v>0.04</v>
      </c>
      <c r="L287" s="107">
        <f t="shared" si="11"/>
        <v>17.920000000000002</v>
      </c>
    </row>
    <row r="288" spans="2:12" hidden="1">
      <c r="B288" s="184">
        <f>+Calculo!AM117</f>
        <v>270504</v>
      </c>
      <c r="C288" s="193">
        <f>+C287</f>
        <v>448</v>
      </c>
      <c r="D288" s="186" t="str">
        <f>+Calculo!AN117</f>
        <v>Tuerca Seg.Emb.Autor.INOX 1/4 X19mm</v>
      </c>
      <c r="E288" s="183"/>
      <c r="F288" s="318">
        <f>+Calculo!AP117</f>
        <v>2.12</v>
      </c>
      <c r="G288" s="318">
        <f t="shared" si="10"/>
        <v>949.76</v>
      </c>
      <c r="K288" s="107">
        <f>+VLOOKUP(B288,CP_2026!$B$8:$L$110,3,0)</f>
        <v>0.01</v>
      </c>
      <c r="L288" s="107">
        <f t="shared" si="11"/>
        <v>4.4800000000000004</v>
      </c>
    </row>
    <row r="289" spans="2:14" hidden="1">
      <c r="B289" s="184" t="str">
        <f>+IF(Calculo!E270="S",+Calculo!CA297," ")</f>
        <v xml:space="preserve"> </v>
      </c>
      <c r="C289" s="317" t="str">
        <f>IF(B289=" "," ",+C283*4)</f>
        <v xml:space="preserve"> </v>
      </c>
      <c r="D289" s="186" t="str">
        <f>IF(B289=" "," ",+Calculo!CB294)</f>
        <v xml:space="preserve"> </v>
      </c>
      <c r="E289" s="183"/>
      <c r="F289" s="318" t="str">
        <f>IF(B289=" "," ",+Calculo!CD297)</f>
        <v xml:space="preserve"> </v>
      </c>
      <c r="G289" s="318" t="str">
        <f>IF(B289=" "," ",IF(B289="","",F289*C289))</f>
        <v xml:space="preserve"> </v>
      </c>
      <c r="K289" s="107" t="e">
        <f>+VLOOKUP(B289,CP_2026!$B$8:$L$110,3,0)</f>
        <v>#N/A</v>
      </c>
      <c r="L289" s="107" t="e">
        <f t="shared" si="11"/>
        <v>#N/A</v>
      </c>
      <c r="N289" s="133"/>
    </row>
    <row r="290" spans="2:14" hidden="1">
      <c r="B290" s="181" t="str">
        <f>+IF(Calculo!P260="N",Calculo!AR294," ")</f>
        <v xml:space="preserve"> </v>
      </c>
      <c r="C290" s="317" t="str">
        <f>IF(B290=" "," ",+C284*4)</f>
        <v xml:space="preserve"> </v>
      </c>
      <c r="D290" s="186" t="str">
        <f>IF(B290=" "," ",Calculo!AS294)</f>
        <v xml:space="preserve"> </v>
      </c>
      <c r="E290" s="183"/>
      <c r="F290" s="318" t="str">
        <f>IF(B290=" "," ",Calculo!AU294)</f>
        <v xml:space="preserve"> </v>
      </c>
      <c r="G290" s="318" t="str">
        <f>IF(B290=" "," ",IF(B290="","",F290*C290))</f>
        <v xml:space="preserve"> </v>
      </c>
      <c r="K290" s="107" t="e">
        <f>+VLOOKUP(B290,CP_2026!$B$8:$L$110,3,0)</f>
        <v>#N/A</v>
      </c>
      <c r="L290" s="107" t="str">
        <f>+IF(B290=" "," ",K290*C290)</f>
        <v xml:space="preserve"> </v>
      </c>
    </row>
    <row r="291" spans="2:14" hidden="1">
      <c r="B291" s="181"/>
      <c r="C291" s="317"/>
      <c r="D291" s="186"/>
      <c r="E291" s="183"/>
      <c r="F291" s="318"/>
      <c r="G291" s="318"/>
    </row>
    <row r="292" spans="2:14" hidden="1">
      <c r="B292" s="181" t="str">
        <f>+IF(Calculo!E271="S",Calculo!BL294," ")</f>
        <v xml:space="preserve"> </v>
      </c>
      <c r="C292" s="193" t="str">
        <f>IF(B292=" "," ",C283)</f>
        <v xml:space="preserve"> </v>
      </c>
      <c r="D292" s="178" t="str">
        <f>IF(B292=" "," ",Calculo!BM294)</f>
        <v xml:space="preserve"> </v>
      </c>
      <c r="E292" s="179"/>
      <c r="F292" s="318" t="str">
        <f>IF(B292=" "," ",Calculo!BO294)</f>
        <v xml:space="preserve"> </v>
      </c>
      <c r="G292" s="318" t="str">
        <f>IF(B292=" "," ",IF(B292="","",F292*C292))</f>
        <v xml:space="preserve"> </v>
      </c>
      <c r="K292" s="107" t="str">
        <f>+IF(B290=" "," ",VLOOKUP(B292,CP_2026!$B$28:$L$55,3,0))</f>
        <v xml:space="preserve"> </v>
      </c>
      <c r="L292" s="107" t="str">
        <f>IF(B290=" "," ",+K292*C292)</f>
        <v xml:space="preserve"> </v>
      </c>
    </row>
    <row r="293" spans="2:14" hidden="1">
      <c r="B293" s="181" t="str">
        <f>+IF(Calculo!E271="S",Calculo!BG294," ")</f>
        <v xml:space="preserve"> </v>
      </c>
      <c r="C293" s="193" t="str">
        <f>IF(B292=" "," ",C292*3)</f>
        <v xml:space="preserve"> </v>
      </c>
      <c r="D293" s="186" t="str">
        <f>IF(B293=" "," ",+Calculo!BH294)</f>
        <v xml:space="preserve"> </v>
      </c>
      <c r="E293" s="179"/>
      <c r="F293" s="318" t="str">
        <f>IF(B293=" "," ",Calculo!BJ294)</f>
        <v xml:space="preserve"> </v>
      </c>
      <c r="G293" s="318" t="str">
        <f>IF(B293=" "," ",IF(B293="","",F293*C293))</f>
        <v xml:space="preserve"> </v>
      </c>
      <c r="K293" s="107" t="str">
        <f>+IF(B290=" "," ",VLOOKUP(B293,CP_2026!$B$28:$L$55,3,0))</f>
        <v xml:space="preserve"> </v>
      </c>
      <c r="L293" s="107" t="str">
        <f>IF(B290=" "," ",+K293*C293)</f>
        <v xml:space="preserve"> </v>
      </c>
    </row>
    <row r="294" spans="2:14" hidden="1">
      <c r="B294" s="181"/>
      <c r="C294" s="193"/>
      <c r="D294" s="178"/>
      <c r="E294" s="179"/>
      <c r="F294" s="318"/>
      <c r="G294" s="318"/>
    </row>
    <row r="295" spans="2:14" hidden="1">
      <c r="B295" s="181"/>
      <c r="C295" s="317"/>
      <c r="D295" s="180"/>
      <c r="E295" s="179"/>
      <c r="F295" s="318"/>
      <c r="G295" s="318"/>
    </row>
    <row r="296" spans="2:14" hidden="1">
      <c r="B296" s="181"/>
      <c r="C296" s="319"/>
      <c r="D296" s="178"/>
      <c r="E296" s="179"/>
      <c r="F296" s="318"/>
      <c r="G296" s="318"/>
    </row>
    <row r="297" spans="2:14" hidden="1">
      <c r="B297" s="181"/>
      <c r="C297" s="317"/>
      <c r="D297" s="178"/>
      <c r="E297" s="179"/>
      <c r="F297" s="318"/>
      <c r="G297" s="318"/>
    </row>
    <row r="298" spans="2:14" hidden="1">
      <c r="B298" s="185"/>
      <c r="C298" s="317"/>
      <c r="D298" s="180"/>
      <c r="E298" s="179"/>
      <c r="F298" s="318"/>
      <c r="G298" s="318"/>
    </row>
    <row r="299" spans="2:14" hidden="1">
      <c r="B299" s="239"/>
      <c r="C299" s="320" t="s">
        <v>259</v>
      </c>
      <c r="D299" s="240"/>
      <c r="E299" s="241"/>
      <c r="F299" s="321"/>
      <c r="G299" s="322"/>
    </row>
    <row r="300" spans="2:14" hidden="1">
      <c r="B300" s="188">
        <f>+Calculo!AR117</f>
        <v>683471</v>
      </c>
      <c r="C300" s="311">
        <f>+Calculo!B111</f>
        <v>2</v>
      </c>
      <c r="D300" s="187"/>
      <c r="E300" s="135"/>
      <c r="F300" s="318">
        <f>+Calculo!AU117</f>
        <v>31.85</v>
      </c>
      <c r="G300" s="318">
        <f>IF(B300="","",F300*C300)</f>
        <v>63.7</v>
      </c>
      <c r="K300" s="107">
        <f>+VLOOKUP(B300,CP_2026!$B$8:$L$110,3,0)</f>
        <v>0.4</v>
      </c>
      <c r="L300" s="107">
        <f>+K300*C300</f>
        <v>0.8</v>
      </c>
    </row>
    <row r="301" spans="2:14" hidden="1">
      <c r="B301" s="188"/>
      <c r="C301" s="188"/>
      <c r="D301" s="187"/>
      <c r="E301" s="135"/>
      <c r="F301" s="318"/>
      <c r="G301" s="318"/>
      <c r="K301" s="107" t="e">
        <f>+VLOOKUP(B301,CP_2026!$B$8:$L$110,3,0)</f>
        <v>#N/A</v>
      </c>
      <c r="L301" s="107" t="e">
        <f>+K301*C301</f>
        <v>#N/A</v>
      </c>
    </row>
    <row r="302" spans="2:14" hidden="1">
      <c r="B302" s="189"/>
      <c r="C302" s="238"/>
      <c r="D302" s="218"/>
      <c r="E302" s="135"/>
      <c r="F302" s="318"/>
      <c r="G302" s="323"/>
      <c r="K302" s="107" t="e">
        <f>+VLOOKUP(B302,CP_2026!$B$8:$L$110,3,0)</f>
        <v>#N/A</v>
      </c>
    </row>
    <row r="303" spans="2:14" hidden="1">
      <c r="B303" s="189"/>
      <c r="C303" s="238"/>
      <c r="D303" s="218"/>
      <c r="E303" s="135"/>
      <c r="F303" s="318"/>
      <c r="G303" s="323"/>
      <c r="K303" s="107" t="e">
        <f>+VLOOKUP(B303,CP_2026!$B$8:$L$110,3,0)</f>
        <v>#N/A</v>
      </c>
    </row>
    <row r="304" spans="2:14" hidden="1">
      <c r="B304" s="189"/>
      <c r="C304" s="238"/>
      <c r="D304" s="218"/>
      <c r="E304" s="135"/>
      <c r="F304" s="318"/>
      <c r="G304" s="323"/>
      <c r="K304" s="107" t="e">
        <f>+VLOOKUP(B304,CP_2026!$B$8:$L$110,3,0)</f>
        <v>#N/A</v>
      </c>
    </row>
    <row r="305" spans="2:15" hidden="1">
      <c r="B305" s="189"/>
      <c r="C305" s="238"/>
      <c r="D305" s="218"/>
      <c r="E305" s="135"/>
      <c r="F305" s="318"/>
      <c r="G305" s="323"/>
      <c r="K305" s="107" t="e">
        <f>+VLOOKUP(B305,CP_2026!$B$8:$L$110,3,0)</f>
        <v>#N/A</v>
      </c>
    </row>
    <row r="306" spans="2:15" hidden="1">
      <c r="B306" s="189"/>
      <c r="C306" s="238"/>
      <c r="D306" s="228"/>
      <c r="E306" s="135"/>
      <c r="F306" s="318"/>
      <c r="G306" s="323"/>
      <c r="K306" s="107" t="e">
        <f>+VLOOKUP(B306,CP_2026!$B$8:$L$110,3,0)</f>
        <v>#N/A</v>
      </c>
      <c r="L306" s="229" t="e">
        <f>+K306*C306</f>
        <v>#N/A</v>
      </c>
    </row>
    <row r="307" spans="2:15" hidden="1">
      <c r="B307" s="189" t="str">
        <f>+IF(Calculo!E271="S",Calculo!CJ294," ")</f>
        <v xml:space="preserve"> </v>
      </c>
      <c r="C307" s="238" t="str">
        <f>IF(B307=" "," ",Calculo!V289)</f>
        <v xml:space="preserve"> </v>
      </c>
      <c r="D307" s="218" t="str">
        <f>IF(B307=" "," ",Calculo!CK294)</f>
        <v xml:space="preserve"> </v>
      </c>
      <c r="E307" s="135"/>
      <c r="F307" s="318" t="str">
        <f>IF(B307=" "," ",Calculo!CL294)</f>
        <v xml:space="preserve"> </v>
      </c>
      <c r="G307" s="323" t="str">
        <f>IF(B307=" "," ",IF(B307="","",F307*C307))</f>
        <v xml:space="preserve"> </v>
      </c>
      <c r="K307" s="107" t="e">
        <f>+VLOOKUP(B307,CP_2026!$B$8:$L$110,3,0)</f>
        <v>#N/A</v>
      </c>
      <c r="L307" s="107" t="e">
        <f>+K307*C307</f>
        <v>#N/A</v>
      </c>
    </row>
    <row r="308" spans="2:15" hidden="1">
      <c r="B308" s="189"/>
      <c r="C308" s="238"/>
      <c r="D308" s="218"/>
      <c r="E308" s="135"/>
      <c r="F308" s="318"/>
      <c r="G308" s="323"/>
    </row>
    <row r="309" spans="2:15" hidden="1">
      <c r="B309" s="239"/>
      <c r="C309" s="320" t="s">
        <v>385</v>
      </c>
      <c r="D309" s="240"/>
      <c r="E309" s="241"/>
      <c r="F309" s="321"/>
      <c r="G309" s="322"/>
    </row>
    <row r="310" spans="2:15" hidden="1">
      <c r="B310" s="269" t="str">
        <f>++IF(O310="En blanco"," ",IF(Ingreso!$D$29="N"," ",+VLOOKUP(E310,CP_2026!$A$55:$L$66,2,TRUE)))</f>
        <v xml:space="preserve"> </v>
      </c>
      <c r="C310" s="270"/>
      <c r="D310" s="307"/>
      <c r="E310" s="436" t="e">
        <f>+MATCH(D310,CP_2026!$C$78:$C$87,0)</f>
        <v>#N/A</v>
      </c>
      <c r="F310" s="345" t="str">
        <f>IF(B310=" "," ",IF(Calculo!$E$10=Calculo!$I$3,+ROUND(H310*(1-Calculo!$J$3),2),+IF(Calculo!$E$10=Calculo!$I$4,+ROUND(H310*(1-Calculo!$J$4),2),+IF(Calculo!$E$10=Calculo!$I$5,+ROUND(H310*(1-Calculo!$J$5),2),+IF(Calculo!$E$10=Calculo!$I$6,+ROUND(H310*(1-Calculo!$J$6),2),+IF(Calculo!$E$10=Calculo!$I$7,+ROUND(H310*(1-Calculo!$J$7),2),+IF(Calculo!$E$10=Calculo!$I$8,+ROUND(H310*(1-Calculo!$J$8),2),H310)))))))</f>
        <v xml:space="preserve"> </v>
      </c>
      <c r="G310" s="324" t="str">
        <f>IF(B310=" "," ",IF(B310="","",F310*C310))</f>
        <v xml:space="preserve"> </v>
      </c>
      <c r="H310" s="107" t="str">
        <f>++IF(O310="En blanco"," ",IF(Ingreso!$D$29="N"," ",+VLOOKUP(E310,CP_2026!$A$78:$L$87,12,TRUE)))</f>
        <v xml:space="preserve"> </v>
      </c>
      <c r="K310" s="107" t="e">
        <f>+VLOOKUP(B310,CP_2026!$B$57:$L$77,3,0)</f>
        <v>#N/A</v>
      </c>
      <c r="L310" s="107" t="e">
        <f>+K310*C310</f>
        <v>#N/A</v>
      </c>
      <c r="O310" s="385" t="str">
        <f>IF(ISBLANK(C310),"En blanco","No está en blanco")</f>
        <v>En blanco</v>
      </c>
    </row>
    <row r="311" spans="2:15" hidden="1">
      <c r="B311" s="189" t="str">
        <f>++IF(O311="En blanco"," ",IF(Ingreso!$D$29="N"," ",+VLOOKUP(E311,CP_2026!$A$55:$L$66,2,TRUE)))</f>
        <v xml:space="preserve"> </v>
      </c>
      <c r="C311" s="257"/>
      <c r="D311" s="306"/>
      <c r="E311" s="435" t="e">
        <f>+MATCH(D311,CP_2026!$C$78:$C$87,0)</f>
        <v>#N/A</v>
      </c>
      <c r="F311" s="318" t="str">
        <f>IF(B311=" "," ",IF(Calculo!$E$10=Calculo!$I$3,+ROUND(H311*(1-Calculo!$J$3),2),+IF(Calculo!$E$10=Calculo!$I$4,+ROUND(H311*(1-Calculo!$J$4),2),+IF(Calculo!$E$10=Calculo!$I$5,+ROUND(H311*(1-Calculo!$J$5),2),+IF(Calculo!$E$10=Calculo!$I$6,+ROUND(H311*(1-Calculo!$J$6),2),+IF(Calculo!$E$10=Calculo!$I$7,+ROUND(H311*(1-Calculo!$J$7),2),+IF(Calculo!$E$10=Calculo!$I$8,+ROUND(H311*(1-Calculo!$J$8),2),H311)))))))</f>
        <v xml:space="preserve"> </v>
      </c>
      <c r="G311" s="323" t="str">
        <f>IF(B311=" "," ",F311*C311)</f>
        <v xml:space="preserve"> </v>
      </c>
      <c r="H311" s="107" t="str">
        <f>++IF(O311="En blanco"," ",IF(Ingreso!$D$29="N"," ",+VLOOKUP(E311,CP_2026!$A$78:$L$87,12,TRUE)))</f>
        <v xml:space="preserve"> </v>
      </c>
      <c r="K311" s="107" t="e">
        <f>+VLOOKUP(B311,CP_2026!$B$57:$L$77,3,0)</f>
        <v>#N/A</v>
      </c>
      <c r="L311" s="107" t="e">
        <f t="shared" ref="L311:L317" si="12">+K311*C311</f>
        <v>#N/A</v>
      </c>
      <c r="O311" s="385" t="str">
        <f t="shared" ref="O311:O317" si="13">IF(ISBLANK(C311),"En blanco","No está en blanco")</f>
        <v>En blanco</v>
      </c>
    </row>
    <row r="312" spans="2:15" hidden="1">
      <c r="B312" s="271" t="str">
        <f>++IF(O312="En blanco"," ",IF(Ingreso!$D$29="N"," ",+VLOOKUP(E312,CP_2026!$A$55:$L$66,2,TRUE)))</f>
        <v xml:space="preserve"> </v>
      </c>
      <c r="C312" s="258"/>
      <c r="D312" s="308"/>
      <c r="E312" s="437" t="e">
        <f>+MATCH(D312,CP_2026!$C$78:$C$87,0)</f>
        <v>#N/A</v>
      </c>
      <c r="F312" s="346" t="str">
        <f>IF(B312=" "," ",IF(Calculo!$E$10=Calculo!$I$3,+ROUND(H312*(1-Calculo!$J$3),2),+IF(Calculo!$E$10=Calculo!$I$4,+ROUND(H312*(1-Calculo!$J$4),2),+IF(Calculo!$E$10=Calculo!$I$5,+ROUND(H312*(1-Calculo!$J$5),2),+IF(Calculo!$E$10=Calculo!$I$6,+ROUND(H312*(1-Calculo!$J$6),2),+IF(Calculo!$E$10=Calculo!$I$7,+ROUND(H312*(1-Calculo!$J$7),2),+IF(Calculo!$E$10=Calculo!$I$8,+ROUND(H312*(1-Calculo!$J$8),2),H312)))))))</f>
        <v xml:space="preserve"> </v>
      </c>
      <c r="G312" s="325" t="str">
        <f>IF(B312=" "," ",F312*C312)</f>
        <v xml:space="preserve"> </v>
      </c>
      <c r="H312" s="107" t="str">
        <f>++IF(O312="En blanco"," ",IF(Ingreso!$D$29="N"," ",+VLOOKUP(E312,CP_2026!$A$78:$L$87,12,TRUE)))</f>
        <v xml:space="preserve"> </v>
      </c>
      <c r="K312" s="107" t="e">
        <f>+VLOOKUP(B312,CP_2026!$B$57:$L$77,3,0)</f>
        <v>#N/A</v>
      </c>
      <c r="L312" s="107" t="e">
        <f t="shared" si="12"/>
        <v>#N/A</v>
      </c>
      <c r="O312" s="385" t="str">
        <f t="shared" si="13"/>
        <v>En blanco</v>
      </c>
    </row>
    <row r="313" spans="2:15" hidden="1">
      <c r="B313" s="239"/>
      <c r="C313" s="320" t="s">
        <v>260</v>
      </c>
      <c r="D313" s="241"/>
      <c r="E313" s="289"/>
      <c r="F313" s="321"/>
      <c r="G313" s="322"/>
    </row>
    <row r="314" spans="2:15" hidden="1">
      <c r="B314" s="438" t="str">
        <f>++IF(O314="En blanco"," ",IF(Ingreso!$D$29="N"," ",+VLOOKUP(E314,CP_2026!$A$55:$L$66,2,TRUE)))</f>
        <v xml:space="preserve"> </v>
      </c>
      <c r="C314" s="270"/>
      <c r="D314" s="307"/>
      <c r="E314" s="436" t="e">
        <f>+MATCH(D314,CP_2026!$C$78:$C$87,0)</f>
        <v>#N/A</v>
      </c>
      <c r="F314" s="345" t="str">
        <f>IF(B314=" "," ",IF(Calculo!$E$10=Calculo!$I$3,+ROUND(H314*(1-Calculo!$J$3),2),+IF(Calculo!$E$10=Calculo!$I$4,+ROUND(H314*(1-Calculo!$J$4),2),+IF(Calculo!$E$10=Calculo!$I$5,+ROUND(H314*(1-Calculo!$J$5),2),+IF(Calculo!$E$10=Calculo!$I$6,+ROUND(H314*(1-Calculo!$J$6),2),+IF(Calculo!$E$10=Calculo!$I$7,+ROUND(H314*(1-Calculo!$J$7),2),+IF(Calculo!$E$10=Calculo!$I$8,+ROUND(H314*(1-Calculo!$J$8),2),H314)))))))</f>
        <v xml:space="preserve"> </v>
      </c>
      <c r="G314" s="324" t="str">
        <f>IF(B314=" "," ",F314*C314)</f>
        <v xml:space="preserve"> </v>
      </c>
      <c r="H314" s="107" t="str">
        <f>++IF(O314="En blanco"," ",IF(Ingreso!$D$29="N"," ",+VLOOKUP(E314,CP_2026!$A$78:$L$87,12,TRUE)))</f>
        <v xml:space="preserve"> </v>
      </c>
      <c r="K314" s="107" t="e">
        <f>+VLOOKUP(B314,CP_2026!$B$57:$L$77,3,0)</f>
        <v>#N/A</v>
      </c>
      <c r="L314" s="107" t="e">
        <f t="shared" si="12"/>
        <v>#N/A</v>
      </c>
      <c r="O314" s="385" t="str">
        <f t="shared" si="13"/>
        <v>En blanco</v>
      </c>
    </row>
    <row r="315" spans="2:15" hidden="1">
      <c r="B315" s="233" t="str">
        <f>++IF(O315="En blanco"," ",IF(Ingreso!$D$29="N"," ",+VLOOKUP(E315,CP_2026!$A$55:$L$66,2,TRUE)))</f>
        <v xml:space="preserve"> </v>
      </c>
      <c r="C315" s="257"/>
      <c r="D315" s="306"/>
      <c r="E315" s="435" t="e">
        <f>+MATCH(D315,CP_2026!$C$78:$C$87,0)</f>
        <v>#N/A</v>
      </c>
      <c r="F315" s="318" t="str">
        <f>IF(B315=" "," ",IF(Calculo!$E$10=Calculo!$I$3,+ROUND(H315*(1-Calculo!$J$3),2),+IF(Calculo!$E$10=Calculo!$I$4,+ROUND(H315*(1-Calculo!$J$4),2),+IF(Calculo!$E$10=Calculo!$I$5,+ROUND(H315*(1-Calculo!$J$5),2),+IF(Calculo!$E$10=Calculo!$I$6,+ROUND(H315*(1-Calculo!$J$6),2),+IF(Calculo!$E$10=Calculo!$I$7,+ROUND(H315*(1-Calculo!$J$7),2),+IF(Calculo!$E$10=Calculo!$I$8,+ROUND(H315*(1-Calculo!$J$8),2),H315)))))))</f>
        <v xml:space="preserve"> </v>
      </c>
      <c r="G315" s="323" t="str">
        <f>IF(B315=" "," ",F315*C315)</f>
        <v xml:space="preserve"> </v>
      </c>
      <c r="H315" s="107" t="str">
        <f>++IF(O315="En blanco"," ",IF(Ingreso!$D$29="N"," ",+VLOOKUP(E315,CP_2026!$A$78:$L$87,12,TRUE)))</f>
        <v xml:space="preserve"> </v>
      </c>
      <c r="K315" s="107" t="e">
        <f>+VLOOKUP(B315,CP_2026!$B$57:$L$77,3,0)</f>
        <v>#N/A</v>
      </c>
      <c r="L315" s="107" t="e">
        <f t="shared" si="12"/>
        <v>#N/A</v>
      </c>
      <c r="O315" s="385" t="str">
        <f t="shared" si="13"/>
        <v>En blanco</v>
      </c>
    </row>
    <row r="316" spans="2:15" hidden="1">
      <c r="B316" s="233" t="str">
        <f>++IF(O316="En blanco"," ",IF(Ingreso!$D$29="N"," ",+VLOOKUP(E316,CP_2026!$A$55:$L$66,2,TRUE)))</f>
        <v xml:space="preserve"> </v>
      </c>
      <c r="C316" s="257"/>
      <c r="D316" s="306"/>
      <c r="E316" s="435" t="e">
        <f>+MATCH(D316,CP_2026!$C$78:$C$87,0)</f>
        <v>#N/A</v>
      </c>
      <c r="F316" s="318" t="str">
        <f>IF(B316=" "," ",IF(Calculo!$E$10=Calculo!$I$3,+ROUND(H316*(1-Calculo!$J$3),2),+IF(Calculo!$E$10=Calculo!$I$4,+ROUND(H316*(1-Calculo!$J$4),2),+IF(Calculo!$E$10=Calculo!$I$5,+ROUND(H316*(1-Calculo!$J$5),2),+IF(Calculo!$E$10=Calculo!$I$6,+ROUND(H316*(1-Calculo!$J$6),2),+IF(Calculo!$E$10=Calculo!$I$7,+ROUND(H316*(1-Calculo!$J$7),2),+IF(Calculo!$E$10=Calculo!$I$8,+ROUND(H316*(1-Calculo!$J$8),2),H316)))))))</f>
        <v xml:space="preserve"> </v>
      </c>
      <c r="G316" s="323" t="str">
        <f>IF(B316=" "," ",F316*C316)</f>
        <v xml:space="preserve"> </v>
      </c>
      <c r="H316" s="107" t="str">
        <f>++IF(O316="En blanco"," ",IF(Ingreso!$D$29="N"," ",+VLOOKUP(E316,CP_2026!$A$78:$L$87,12,TRUE)))</f>
        <v xml:space="preserve"> </v>
      </c>
      <c r="K316" s="107" t="e">
        <f>+VLOOKUP(B316,CP_2026!$B$57:$L$77,3,0)</f>
        <v>#N/A</v>
      </c>
      <c r="L316" s="107" t="e">
        <f t="shared" si="12"/>
        <v>#N/A</v>
      </c>
      <c r="O316" s="385" t="str">
        <f t="shared" si="13"/>
        <v>En blanco</v>
      </c>
    </row>
    <row r="317" spans="2:15" hidden="1">
      <c r="B317" s="235" t="str">
        <f>++IF(O317="En blanco"," ",IF(Ingreso!$D$29="N"," ",+VLOOKUP(E317,CP_2026!$A$55:$L$66,2,TRUE)))</f>
        <v xml:space="preserve"> </v>
      </c>
      <c r="C317" s="258"/>
      <c r="D317" s="308"/>
      <c r="E317" s="437" t="e">
        <f>+MATCH(D317,CP_2026!$C$78:$C$87,0)</f>
        <v>#N/A</v>
      </c>
      <c r="F317" s="346" t="str">
        <f>IF(B317=" "," ",IF(Calculo!$E$10=Calculo!$I$3,+ROUND(H317*(1-Calculo!$J$3),2),+IF(Calculo!$E$10=Calculo!$I$4,+ROUND(H317*(1-Calculo!$J$4),2),+IF(Calculo!$E$10=Calculo!$I$5,+ROUND(H317*(1-Calculo!$J$5),2),+IF(Calculo!$E$10=Calculo!$I$6,+ROUND(H317*(1-Calculo!$J$6),2),+IF(Calculo!$E$10=Calculo!$I$7,+ROUND(H317*(1-Calculo!$J$7),2),+IF(Calculo!$E$10=Calculo!$I$8,+ROUND(H317*(1-Calculo!$J$8),2),H317)))))))</f>
        <v xml:space="preserve"> </v>
      </c>
      <c r="G317" s="325" t="str">
        <f>IF(B317=" "," ",F317*C317)</f>
        <v xml:space="preserve"> </v>
      </c>
      <c r="H317" s="107" t="str">
        <f>++IF(O317="En blanco"," ",IF(Ingreso!$D$29="N"," ",+VLOOKUP(E317,CP_2026!$A$78:$L$87,12,TRUE)))</f>
        <v xml:space="preserve"> </v>
      </c>
      <c r="K317" s="107" t="e">
        <f>+VLOOKUP(B317,CP_2026!$B$57:$L$77,3,0)</f>
        <v>#N/A</v>
      </c>
      <c r="L317" s="107" t="e">
        <f t="shared" si="12"/>
        <v>#N/A</v>
      </c>
      <c r="O317" s="385" t="str">
        <f t="shared" si="13"/>
        <v>En blanco</v>
      </c>
    </row>
    <row r="318" spans="2:15" hidden="1">
      <c r="B318" s="134" t="s">
        <v>165</v>
      </c>
      <c r="C318" s="259" t="str">
        <f>+L318&amp;" kg "</f>
        <v xml:space="preserve">4944.16 kg </v>
      </c>
      <c r="D318" s="256"/>
      <c r="E318" s="124"/>
      <c r="F318" s="326"/>
      <c r="G318" s="136"/>
      <c r="L318" s="107">
        <f>+SUMIF(L283:L317,"&gt;0")</f>
        <v>4944.1599999999989</v>
      </c>
    </row>
    <row r="319" spans="2:15" ht="13" hidden="1">
      <c r="C319" s="264"/>
      <c r="D319" s="134"/>
      <c r="E319" s="327" t="s">
        <v>166</v>
      </c>
      <c r="F319" s="328"/>
      <c r="G319" s="329">
        <f>SUM(G283:G318)</f>
        <v>26309.589999999997</v>
      </c>
    </row>
    <row r="320" spans="2:15" ht="13" hidden="1">
      <c r="C320" s="264"/>
      <c r="D320" s="134"/>
      <c r="E320" s="330"/>
      <c r="F320" s="326"/>
      <c r="G320" s="331"/>
    </row>
    <row r="321" spans="2:7" ht="13" hidden="1">
      <c r="C321" s="264"/>
      <c r="D321" s="137"/>
      <c r="E321" s="330"/>
      <c r="F321" s="326"/>
      <c r="G321" s="331"/>
    </row>
    <row r="322" spans="2:7" hidden="1">
      <c r="C322" s="264"/>
      <c r="D322" s="137"/>
      <c r="E322" s="332" t="s">
        <v>167</v>
      </c>
      <c r="F322" s="333"/>
      <c r="G322" s="334">
        <v>0</v>
      </c>
    </row>
    <row r="323" spans="2:7" hidden="1">
      <c r="C323" s="264"/>
      <c r="D323" s="134"/>
      <c r="E323" s="335" t="s">
        <v>168</v>
      </c>
      <c r="F323" s="136"/>
      <c r="G323" s="334">
        <f>+G319-G322</f>
        <v>26309.589999999997</v>
      </c>
    </row>
    <row r="324" spans="2:7" hidden="1">
      <c r="C324" s="264"/>
      <c r="D324" s="134"/>
      <c r="E324" s="335"/>
      <c r="F324" s="136"/>
      <c r="G324" s="334"/>
    </row>
    <row r="325" spans="2:7" ht="13" hidden="1">
      <c r="C325" s="264"/>
      <c r="D325" s="134"/>
      <c r="E325" s="330" t="s">
        <v>169</v>
      </c>
      <c r="F325" s="336"/>
      <c r="G325" s="334">
        <f>G323*0.12</f>
        <v>3157.1507999999994</v>
      </c>
    </row>
    <row r="326" spans="2:7" ht="13" hidden="1">
      <c r="C326" s="264"/>
      <c r="D326" s="134"/>
      <c r="E326" s="330"/>
      <c r="F326" s="336"/>
      <c r="G326" s="334"/>
    </row>
    <row r="327" spans="2:7" ht="13.5" hidden="1" thickBot="1">
      <c r="C327" s="264"/>
      <c r="D327" s="134"/>
      <c r="E327" s="337" t="s">
        <v>170</v>
      </c>
      <c r="F327" s="338" t="str">
        <f>+Calculo!E106</f>
        <v>Franquicia</v>
      </c>
      <c r="G327" s="339">
        <f>G323+G325</f>
        <v>29466.740799999996</v>
      </c>
    </row>
    <row r="328" spans="2:7" ht="18" hidden="1">
      <c r="C328" s="118"/>
      <c r="D328" s="125"/>
      <c r="E328" s="139"/>
      <c r="F328" s="139"/>
      <c r="G328" s="140"/>
    </row>
    <row r="329" spans="2:7" ht="15.5" hidden="1">
      <c r="C329" s="118"/>
      <c r="D329" s="125"/>
    </row>
    <row r="330" spans="2:7" ht="15.5" hidden="1">
      <c r="C330" s="118"/>
      <c r="D330" s="141"/>
      <c r="E330" s="340"/>
      <c r="F330" s="142"/>
      <c r="G330" s="341"/>
    </row>
    <row r="331" spans="2:7" ht="15.5" hidden="1">
      <c r="B331" s="342" t="s">
        <v>171</v>
      </c>
      <c r="C331" s="183"/>
      <c r="D331" s="177"/>
      <c r="E331" s="190"/>
      <c r="F331" s="191"/>
      <c r="G331" s="138"/>
    </row>
    <row r="332" spans="2:7" ht="15.5" hidden="1">
      <c r="C332" s="183"/>
      <c r="D332" s="177"/>
      <c r="E332" s="190"/>
      <c r="F332" s="190"/>
    </row>
    <row r="333" spans="2:7" ht="15.5" hidden="1">
      <c r="B333" s="109" t="s">
        <v>172</v>
      </c>
      <c r="D333" s="109"/>
      <c r="E333" s="190"/>
      <c r="F333" s="191"/>
      <c r="G333" s="138"/>
    </row>
    <row r="334" spans="2:7" ht="15.5" hidden="1">
      <c r="B334" s="177"/>
      <c r="C334" s="343"/>
      <c r="D334" s="177"/>
      <c r="E334" s="190"/>
      <c r="F334" s="191"/>
      <c r="G334" s="138"/>
    </row>
    <row r="335" spans="2:7" ht="15.5" hidden="1">
      <c r="B335" s="177"/>
      <c r="C335" s="343"/>
      <c r="D335" s="177"/>
      <c r="E335" s="190"/>
      <c r="F335" s="191"/>
      <c r="G335" s="138"/>
    </row>
    <row r="336" spans="2:7" ht="15.5" hidden="1">
      <c r="C336" s="265"/>
      <c r="D336" s="104"/>
      <c r="E336" s="125"/>
      <c r="F336" s="143"/>
      <c r="G336" s="104"/>
    </row>
    <row r="337" spans="2:7" ht="15.5" hidden="1">
      <c r="C337" s="118"/>
      <c r="E337" s="125"/>
      <c r="F337" s="143"/>
      <c r="G337" s="104"/>
    </row>
    <row r="338" spans="2:7" ht="15.5" hidden="1">
      <c r="B338" s="125" t="s">
        <v>173</v>
      </c>
      <c r="E338" s="144"/>
      <c r="F338" s="145"/>
      <c r="G338" s="138"/>
    </row>
    <row r="339" spans="2:7" ht="15.5" hidden="1">
      <c r="E339" s="144"/>
      <c r="F339" s="145"/>
      <c r="G339" s="138"/>
    </row>
    <row r="340" spans="2:7" ht="15.5" hidden="1">
      <c r="B340" s="107" t="str">
        <f>+Ingreso!D35</f>
        <v>Naranjo Melanie</v>
      </c>
      <c r="C340" s="266"/>
      <c r="E340" s="144"/>
      <c r="F340" s="145"/>
    </row>
    <row r="341" spans="2:7" ht="15.5" hidden="1">
      <c r="B341" s="107" t="str">
        <f>+VLOOKUP(B83,'DATOS PARTIDA'!I3:K47,2,FALSE)</f>
        <v>melanie.naranjo@bekaert.com</v>
      </c>
      <c r="C341" s="266"/>
      <c r="D341" s="133" t="str">
        <f>+VLOOKUP(B83,'DATOS PARTIDA'!I3:K47,3,FALSE)</f>
        <v>+593 98 535 0069</v>
      </c>
      <c r="E341" s="144"/>
      <c r="F341" s="145"/>
      <c r="G341" s="595" t="str">
        <f>+CP_2026!A5</f>
        <v>LISTA DE PRECIOS 
VIGENTE  AGOSTO DE 2026</v>
      </c>
    </row>
    <row r="342" spans="2:7" ht="15.5" hidden="1">
      <c r="C342" s="266"/>
      <c r="E342" s="144"/>
      <c r="F342" s="145"/>
      <c r="G342" s="595"/>
    </row>
    <row r="343" spans="2:7" ht="15.5" hidden="1">
      <c r="B343" s="144" t="s">
        <v>215</v>
      </c>
      <c r="E343" s="144"/>
      <c r="G343" s="595"/>
    </row>
    <row r="344" spans="2:7" hidden="1"/>
  </sheetData>
  <mergeCells count="44">
    <mergeCell ref="B87:E87"/>
    <mergeCell ref="B2:E2"/>
    <mergeCell ref="B3:E3"/>
    <mergeCell ref="B22:B23"/>
    <mergeCell ref="C22:C23"/>
    <mergeCell ref="D22:D23"/>
    <mergeCell ref="E22:E23"/>
    <mergeCell ref="F22:F23"/>
    <mergeCell ref="G22:G23"/>
    <mergeCell ref="K22:K23"/>
    <mergeCell ref="L22:L23"/>
    <mergeCell ref="G84:G86"/>
    <mergeCell ref="B174:E174"/>
    <mergeCell ref="B88:E88"/>
    <mergeCell ref="B107:B108"/>
    <mergeCell ref="C107:C108"/>
    <mergeCell ref="D107:D108"/>
    <mergeCell ref="E107:E108"/>
    <mergeCell ref="G107:G108"/>
    <mergeCell ref="K107:K108"/>
    <mergeCell ref="L107:L108"/>
    <mergeCell ref="G170:G172"/>
    <mergeCell ref="B173:E173"/>
    <mergeCell ref="F107:F108"/>
    <mergeCell ref="F279:F280"/>
    <mergeCell ref="B193:B194"/>
    <mergeCell ref="C193:C194"/>
    <mergeCell ref="D193:D194"/>
    <mergeCell ref="E193:E194"/>
    <mergeCell ref="F193:F194"/>
    <mergeCell ref="B259:E259"/>
    <mergeCell ref="B260:E260"/>
    <mergeCell ref="B279:B280"/>
    <mergeCell ref="C279:C280"/>
    <mergeCell ref="D279:D280"/>
    <mergeCell ref="E279:E280"/>
    <mergeCell ref="G279:G280"/>
    <mergeCell ref="K279:K280"/>
    <mergeCell ref="L279:L280"/>
    <mergeCell ref="G341:G343"/>
    <mergeCell ref="K193:K194"/>
    <mergeCell ref="L193:L194"/>
    <mergeCell ref="G256:G258"/>
    <mergeCell ref="G193:G194"/>
  </mergeCells>
  <dataValidations count="1">
    <dataValidation allowBlank="1" showInputMessage="1" showErrorMessage="1" sqref="B142" xr:uid="{C9D8E559-8351-4B24-952E-E92B19350771}"/>
  </dataValidations>
  <pageMargins left="0.70866141732283472" right="0.70866141732283472" top="0.74803149606299213" bottom="0.74803149606299213" header="0.31496062992125984" footer="0.31496062992125984"/>
  <pageSetup paperSize="9" scale="51" fitToHeight="4" orientation="portrait" r:id="rId1"/>
  <rowBreaks count="3" manualBreakCount="3">
    <brk id="86" max="6" man="1"/>
    <brk id="172" max="6" man="1"/>
    <brk id="258" max="6" man="1"/>
  </row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enu">
                <anchor moveWithCells="1" sizeWithCells="1">
                  <from>
                    <xdr:col>6</xdr:col>
                    <xdr:colOff>469900</xdr:colOff>
                    <xdr:row>3</xdr:row>
                    <xdr:rowOff>158750</xdr:rowOff>
                  </from>
                  <to>
                    <xdr:col>6</xdr:col>
                    <xdr:colOff>1955800</xdr:colOff>
                    <xdr:row>5</xdr:row>
                    <xdr:rowOff>31750</xdr:rowOff>
                  </to>
                </anchor>
              </controlPr>
            </control>
          </mc:Choice>
        </mc:AlternateContent>
        <mc:AlternateContent xmlns:mc="http://schemas.openxmlformats.org/markup-compatibility/2006">
          <mc:Choice Requires="x14">
            <control shapeId="26626" r:id="rId5" name="Button 2">
              <controlPr defaultSize="0" print="0" autoFill="0" autoPict="0" macro="[0]!menu">
                <anchor moveWithCells="1" sizeWithCells="1">
                  <from>
                    <xdr:col>6</xdr:col>
                    <xdr:colOff>177800</xdr:colOff>
                    <xdr:row>88</xdr:row>
                    <xdr:rowOff>177800</xdr:rowOff>
                  </from>
                  <to>
                    <xdr:col>6</xdr:col>
                    <xdr:colOff>1670050</xdr:colOff>
                    <xdr:row>90</xdr:row>
                    <xdr:rowOff>44450</xdr:rowOff>
                  </to>
                </anchor>
              </controlPr>
            </control>
          </mc:Choice>
        </mc:AlternateContent>
        <mc:AlternateContent xmlns:mc="http://schemas.openxmlformats.org/markup-compatibility/2006">
          <mc:Choice Requires="x14">
            <control shapeId="26627" r:id="rId6" name="Button 3">
              <controlPr defaultSize="0" print="0" autoFill="0" autoPict="0" macro="[0]!menu">
                <anchor moveWithCells="1" sizeWithCells="1">
                  <from>
                    <xdr:col>6</xdr:col>
                    <xdr:colOff>317500</xdr:colOff>
                    <xdr:row>175</xdr:row>
                    <xdr:rowOff>0</xdr:rowOff>
                  </from>
                  <to>
                    <xdr:col>6</xdr:col>
                    <xdr:colOff>1828800</xdr:colOff>
                    <xdr:row>176</xdr:row>
                    <xdr:rowOff>88900</xdr:rowOff>
                  </to>
                </anchor>
              </controlPr>
            </control>
          </mc:Choice>
        </mc:AlternateContent>
        <mc:AlternateContent xmlns:mc="http://schemas.openxmlformats.org/markup-compatibility/2006">
          <mc:Choice Requires="x14">
            <control shapeId="26628" r:id="rId7" name="Button 4">
              <controlPr defaultSize="0" print="0" autoFill="0" autoPict="0" macro="[0]!menu">
                <anchor moveWithCells="1" sizeWithCells="1">
                  <from>
                    <xdr:col>6</xdr:col>
                    <xdr:colOff>304800</xdr:colOff>
                    <xdr:row>260</xdr:row>
                    <xdr:rowOff>165100</xdr:rowOff>
                  </from>
                  <to>
                    <xdr:col>6</xdr:col>
                    <xdr:colOff>1797050</xdr:colOff>
                    <xdr:row>262</xdr:row>
                    <xdr:rowOff>38100</xdr:rowOff>
                  </to>
                </anchor>
              </controlPr>
            </control>
          </mc:Choice>
        </mc:AlternateContent>
        <mc:AlternateContent xmlns:mc="http://schemas.openxmlformats.org/markup-compatibility/2006">
          <mc:Choice Requires="x14">
            <control shapeId="26629" r:id="rId8" name="Button 5">
              <controlPr defaultSize="0" print="0" autoFill="0" autoPict="0" macro="[0]!IMPRIMIR2">
                <anchor moveWithCells="1" sizeWithCells="1">
                  <from>
                    <xdr:col>13</xdr:col>
                    <xdr:colOff>1098550</xdr:colOff>
                    <xdr:row>88</xdr:row>
                    <xdr:rowOff>88900</xdr:rowOff>
                  </from>
                  <to>
                    <xdr:col>15</xdr:col>
                    <xdr:colOff>755650</xdr:colOff>
                    <xdr:row>90</xdr:row>
                    <xdr:rowOff>63500</xdr:rowOff>
                  </to>
                </anchor>
              </controlPr>
            </control>
          </mc:Choice>
        </mc:AlternateContent>
        <mc:AlternateContent xmlns:mc="http://schemas.openxmlformats.org/markup-compatibility/2006">
          <mc:Choice Requires="x14">
            <control shapeId="26630" r:id="rId9" name="Button 6">
              <controlPr defaultSize="0" print="0" autoFill="0" autoPict="0" macro="[0]!IMPRIMIR">
                <anchor moveWithCells="1" sizeWithCells="1">
                  <from>
                    <xdr:col>13</xdr:col>
                    <xdr:colOff>1073150</xdr:colOff>
                    <xdr:row>3</xdr:row>
                    <xdr:rowOff>101600</xdr:rowOff>
                  </from>
                  <to>
                    <xdr:col>15</xdr:col>
                    <xdr:colOff>723900</xdr:colOff>
                    <xdr:row>5</xdr:row>
                    <xdr:rowOff>50800</xdr:rowOff>
                  </to>
                </anchor>
              </controlPr>
            </control>
          </mc:Choice>
        </mc:AlternateContent>
        <mc:AlternateContent xmlns:mc="http://schemas.openxmlformats.org/markup-compatibility/2006">
          <mc:Choice Requires="x14">
            <control shapeId="26631" r:id="rId10" name="Button 7">
              <controlPr defaultSize="0" print="0" autoFill="0" autoPict="0" macro="[0]!IMPRIMIR3">
                <anchor moveWithCells="1" sizeWithCells="1">
                  <from>
                    <xdr:col>13</xdr:col>
                    <xdr:colOff>876300</xdr:colOff>
                    <xdr:row>174</xdr:row>
                    <xdr:rowOff>190500</xdr:rowOff>
                  </from>
                  <to>
                    <xdr:col>15</xdr:col>
                    <xdr:colOff>527050</xdr:colOff>
                    <xdr:row>176</xdr:row>
                    <xdr:rowOff>146050</xdr:rowOff>
                  </to>
                </anchor>
              </controlPr>
            </control>
          </mc:Choice>
        </mc:AlternateContent>
        <mc:AlternateContent xmlns:mc="http://schemas.openxmlformats.org/markup-compatibility/2006">
          <mc:Choice Requires="x14">
            <control shapeId="26632" r:id="rId11" name="Button 8">
              <controlPr defaultSize="0" print="0" autoFill="0" autoPict="0" macro="[0]!IMPRIMIR4">
                <anchor moveWithCells="1" sizeWithCells="1">
                  <from>
                    <xdr:col>13</xdr:col>
                    <xdr:colOff>946150</xdr:colOff>
                    <xdr:row>260</xdr:row>
                    <xdr:rowOff>107950</xdr:rowOff>
                  </from>
                  <to>
                    <xdr:col>15</xdr:col>
                    <xdr:colOff>596900</xdr:colOff>
                    <xdr:row>262</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EE308F86-C3BB-4412-B97F-15ECC5168CEF}">
          <x14:formula1>
            <xm:f>CP_2026!$C$78:$C$87</xm:f>
          </x14:formula1>
          <xm:sqref>D310:D312 D314:D317</xm:sqref>
        </x14:dataValidation>
        <x14:dataValidation type="list" allowBlank="1" showInputMessage="1" showErrorMessage="1" xr:uid="{052842DA-AA45-45D1-A51C-9C0A8105BDAB}">
          <x14:formula1>
            <xm:f>CP_2026!$C$18:$C$25</xm:f>
          </x14:formula1>
          <xm:sqref>D139:D141 D143:D146</xm:sqref>
        </x14:dataValidation>
        <x14:dataValidation type="list" allowBlank="1" showInputMessage="1" showErrorMessage="1" xr:uid="{B024E8D7-7B34-4F66-B81D-0F3285898107}">
          <x14:formula1>
            <xm:f>CP_2026!$C$55:$C$66</xm:f>
          </x14:formula1>
          <xm:sqref>D53:D55</xm:sqref>
        </x14:dataValidation>
        <x14:dataValidation type="list" allowBlank="1" showInputMessage="1" showErrorMessage="1" xr:uid="{09D52FFA-ABED-4CCD-9EC6-670B90C5FB65}">
          <x14:formula1>
            <xm:f>CP_2026!$C$9:$C$16</xm:f>
          </x14:formula1>
          <xm:sqref>D225:D227 D229:D232</xm:sqref>
        </x14:dataValidation>
        <x14:dataValidation type="list" allowBlank="1" showInputMessage="1" showErrorMessage="1" xr:uid="{9A902857-29CF-41F2-B56A-5E2D2F9D42C7}">
          <x14:formula1>
            <xm:f>CP_2026!$C$69:$C$77</xm:f>
          </x14:formula1>
          <xm:sqref>D57:D60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1730-5C71-49D7-A68B-CDF354756981}">
  <sheetPr codeName="Hoja8">
    <pageSetUpPr fitToPage="1"/>
  </sheetPr>
  <dimension ref="B1:P647"/>
  <sheetViews>
    <sheetView showGridLines="0" topLeftCell="A12" zoomScale="70" zoomScaleNormal="70" workbookViewId="0">
      <selection activeCell="R15" sqref="R15"/>
    </sheetView>
  </sheetViews>
  <sheetFormatPr baseColWidth="10" defaultColWidth="8.90625" defaultRowHeight="14.5"/>
  <cols>
    <col min="2" max="2" width="32.6328125" customWidth="1"/>
    <col min="3" max="3" width="24.90625" customWidth="1"/>
    <col min="4" max="9" width="16.6328125" customWidth="1"/>
    <col min="10" max="10" width="16.6328125" hidden="1" customWidth="1"/>
    <col min="11" max="16" width="16.6328125" customWidth="1"/>
  </cols>
  <sheetData>
    <row r="1" spans="2:16" s="272" customFormat="1" ht="13" hidden="1">
      <c r="B1" s="597" t="s">
        <v>328</v>
      </c>
      <c r="C1" s="597"/>
      <c r="D1" s="597"/>
      <c r="E1" s="597"/>
      <c r="F1" s="597"/>
      <c r="G1" s="597"/>
    </row>
    <row r="2" spans="2:16" s="272" customFormat="1" ht="12.5" hidden="1"/>
    <row r="3" spans="2:16" s="272" customFormat="1" ht="27" hidden="1" customHeight="1">
      <c r="B3" s="273" t="s">
        <v>329</v>
      </c>
      <c r="C3" s="273" t="s">
        <v>330</v>
      </c>
      <c r="D3" s="273" t="s">
        <v>331</v>
      </c>
      <c r="E3" s="273" t="s">
        <v>332</v>
      </c>
      <c r="F3" s="273" t="s">
        <v>211</v>
      </c>
      <c r="G3" s="274" t="s">
        <v>333</v>
      </c>
    </row>
    <row r="4" spans="2:16" s="272" customFormat="1" ht="12.5" hidden="1"/>
    <row r="5" spans="2:16" s="272" customFormat="1" hidden="1">
      <c r="B5" s="275" t="s">
        <v>100</v>
      </c>
      <c r="C5" s="275" t="s">
        <v>21</v>
      </c>
      <c r="D5" s="275">
        <v>1.1100000000000001</v>
      </c>
      <c r="E5" s="275" t="s">
        <v>334</v>
      </c>
      <c r="F5" s="275" t="s">
        <v>335</v>
      </c>
      <c r="G5" s="276">
        <v>0</v>
      </c>
    </row>
    <row r="6" spans="2:16" s="272" customFormat="1" hidden="1">
      <c r="B6" s="275" t="s">
        <v>101</v>
      </c>
      <c r="C6" s="275"/>
      <c r="D6" s="275">
        <v>2.08</v>
      </c>
      <c r="E6" s="275" t="s">
        <v>180</v>
      </c>
      <c r="F6" s="275" t="s">
        <v>336</v>
      </c>
      <c r="G6" s="276">
        <v>0.5</v>
      </c>
    </row>
    <row r="7" spans="2:16" s="272" customFormat="1" hidden="1">
      <c r="B7" s="275"/>
      <c r="C7" s="275"/>
      <c r="D7" s="275">
        <v>2.4</v>
      </c>
      <c r="E7" s="275"/>
      <c r="F7" s="277" t="s">
        <v>337</v>
      </c>
      <c r="G7" s="276">
        <v>1</v>
      </c>
    </row>
    <row r="8" spans="2:16" s="272" customFormat="1" ht="12.5" hidden="1">
      <c r="B8" s="275"/>
      <c r="C8" s="275"/>
      <c r="D8" s="275">
        <v>3.1</v>
      </c>
      <c r="E8" s="275"/>
      <c r="F8" s="277" t="s">
        <v>338</v>
      </c>
      <c r="G8" s="275"/>
    </row>
    <row r="9" spans="2:16" s="272" customFormat="1" ht="12.5" hidden="1">
      <c r="B9" s="275"/>
      <c r="C9" s="275"/>
      <c r="D9" s="275">
        <v>4.0999999999999996</v>
      </c>
      <c r="E9" s="275"/>
      <c r="F9" s="277"/>
      <c r="G9" s="275"/>
    </row>
    <row r="11" spans="2:16" ht="30.65" customHeight="1" thickBot="1"/>
    <row r="12" spans="2:16" ht="151.5" customHeight="1" thickBot="1">
      <c r="B12" s="615"/>
      <c r="C12" s="616"/>
      <c r="D12" s="616"/>
      <c r="E12" s="616"/>
      <c r="F12" s="616"/>
      <c r="G12" s="616"/>
      <c r="H12" s="616"/>
      <c r="I12" s="616"/>
      <c r="J12" s="616"/>
      <c r="K12" s="616"/>
      <c r="L12" s="616"/>
      <c r="M12" s="616"/>
      <c r="N12" s="616"/>
      <c r="O12" s="616"/>
      <c r="P12" s="617"/>
    </row>
    <row r="13" spans="2:16" ht="53" customHeight="1" thickBot="1">
      <c r="B13" s="618" t="s">
        <v>355</v>
      </c>
      <c r="C13" s="619"/>
      <c r="D13" s="619"/>
      <c r="E13" s="619"/>
      <c r="F13" s="619"/>
      <c r="G13" s="619"/>
      <c r="H13" s="619"/>
      <c r="I13" s="619"/>
      <c r="J13" s="619"/>
      <c r="K13" s="619"/>
      <c r="L13" s="619"/>
      <c r="M13" s="619"/>
      <c r="N13" s="619"/>
      <c r="O13" s="619"/>
      <c r="P13" s="620"/>
    </row>
    <row r="14" spans="2:16" s="351" customFormat="1" ht="111" customHeight="1" thickBot="1">
      <c r="B14" s="621" t="s">
        <v>356</v>
      </c>
      <c r="C14" s="352" t="s">
        <v>357</v>
      </c>
      <c r="D14" s="622" t="s">
        <v>358</v>
      </c>
      <c r="E14" s="622"/>
      <c r="F14" s="622"/>
      <c r="G14" s="622"/>
      <c r="H14" s="622"/>
      <c r="I14" s="622"/>
      <c r="J14" s="353"/>
      <c r="K14" s="623" t="s">
        <v>359</v>
      </c>
      <c r="L14" s="623"/>
      <c r="M14" s="623"/>
      <c r="N14" s="623"/>
      <c r="O14" s="623"/>
      <c r="P14" s="623"/>
    </row>
    <row r="15" spans="2:16" ht="117" customHeight="1" thickBot="1">
      <c r="B15" s="621"/>
      <c r="C15" s="352" t="s">
        <v>360</v>
      </c>
      <c r="D15" s="624" t="s">
        <v>361</v>
      </c>
      <c r="E15" s="624"/>
      <c r="F15" s="625" t="s">
        <v>362</v>
      </c>
      <c r="G15" s="625"/>
      <c r="H15" s="608" t="s">
        <v>363</v>
      </c>
      <c r="I15" s="608"/>
      <c r="J15" s="354"/>
      <c r="K15" s="624" t="s">
        <v>361</v>
      </c>
      <c r="L15" s="624"/>
      <c r="M15" s="625" t="s">
        <v>362</v>
      </c>
      <c r="N15" s="625"/>
      <c r="O15" s="608" t="s">
        <v>363</v>
      </c>
      <c r="P15" s="608"/>
    </row>
    <row r="16" spans="2:16" ht="96.65" customHeight="1" thickBot="1">
      <c r="B16" s="621"/>
      <c r="C16" s="355" t="s">
        <v>364</v>
      </c>
      <c r="D16" s="356" t="s">
        <v>365</v>
      </c>
      <c r="E16" s="357" t="s">
        <v>366</v>
      </c>
      <c r="F16" s="356" t="s">
        <v>365</v>
      </c>
      <c r="G16" s="357" t="s">
        <v>366</v>
      </c>
      <c r="H16" s="356" t="s">
        <v>365</v>
      </c>
      <c r="I16" s="357" t="s">
        <v>366</v>
      </c>
      <c r="J16" s="358"/>
      <c r="K16" s="356" t="s">
        <v>365</v>
      </c>
      <c r="L16" s="357" t="s">
        <v>366</v>
      </c>
      <c r="M16" s="356" t="s">
        <v>365</v>
      </c>
      <c r="N16" s="357" t="s">
        <v>366</v>
      </c>
      <c r="O16" s="356" t="s">
        <v>365</v>
      </c>
      <c r="P16" s="357" t="s">
        <v>366</v>
      </c>
    </row>
    <row r="17" spans="2:16" s="350" customFormat="1" ht="31.25" customHeight="1">
      <c r="B17" s="609" t="s">
        <v>367</v>
      </c>
      <c r="C17" s="610"/>
      <c r="D17" s="359"/>
      <c r="E17" s="381">
        <v>41.803621999999997</v>
      </c>
      <c r="F17" s="382"/>
      <c r="G17" s="381">
        <v>48.792755</v>
      </c>
      <c r="H17" s="359"/>
      <c r="I17" s="381">
        <v>55.781886999999998</v>
      </c>
      <c r="J17" s="360"/>
      <c r="K17" s="359"/>
      <c r="L17" s="381">
        <v>46.409534999999998</v>
      </c>
      <c r="M17" s="359"/>
      <c r="N17" s="381">
        <v>55.645454999999998</v>
      </c>
      <c r="O17" s="359"/>
      <c r="P17" s="381">
        <v>64.881374999999991</v>
      </c>
    </row>
    <row r="18" spans="2:16" s="350" customFormat="1" ht="31.25" customHeight="1">
      <c r="B18" s="611" t="s">
        <v>368</v>
      </c>
      <c r="C18" s="612"/>
      <c r="D18" s="379">
        <v>86.068377999999996</v>
      </c>
      <c r="E18" s="379">
        <v>71.078177999999994</v>
      </c>
      <c r="F18" s="379">
        <v>104.29100200000001</v>
      </c>
      <c r="G18" s="379">
        <v>82.218801999999997</v>
      </c>
      <c r="H18" s="379">
        <v>122.51362499999999</v>
      </c>
      <c r="I18" s="379">
        <v>93.359424999999987</v>
      </c>
      <c r="J18" s="361"/>
      <c r="K18" s="379">
        <v>88.511034999999993</v>
      </c>
      <c r="L18" s="379">
        <v>73.520834999999991</v>
      </c>
      <c r="M18" s="379">
        <v>107.92519899999999</v>
      </c>
      <c r="N18" s="379">
        <v>85.852998999999997</v>
      </c>
      <c r="O18" s="379">
        <v>127.33936199999999</v>
      </c>
      <c r="P18" s="379">
        <v>98.185162999999989</v>
      </c>
    </row>
    <row r="19" spans="2:16" s="350" customFormat="1" ht="31.25" customHeight="1">
      <c r="B19" s="611" t="s">
        <v>369</v>
      </c>
      <c r="C19" s="612"/>
      <c r="D19" s="379">
        <v>101.94943499999999</v>
      </c>
      <c r="E19" s="379">
        <v>87.016635000000008</v>
      </c>
      <c r="F19" s="379">
        <v>124.41257400000001</v>
      </c>
      <c r="G19" s="379">
        <v>102.425774</v>
      </c>
      <c r="H19" s="379">
        <v>146.87571199999999</v>
      </c>
      <c r="I19" s="379">
        <v>117.834913</v>
      </c>
      <c r="J19" s="361"/>
      <c r="K19" s="379">
        <v>108.58649299999999</v>
      </c>
      <c r="L19" s="379">
        <v>93.653693000000004</v>
      </c>
      <c r="M19" s="379">
        <v>134.28722200000001</v>
      </c>
      <c r="N19" s="379">
        <v>112.300422</v>
      </c>
      <c r="O19" s="379">
        <v>159.98795000000001</v>
      </c>
      <c r="P19" s="379">
        <v>98.185162999999989</v>
      </c>
    </row>
    <row r="20" spans="2:16" s="350" customFormat="1" ht="31.25" customHeight="1">
      <c r="B20" s="611" t="s">
        <v>370</v>
      </c>
      <c r="C20" s="612"/>
      <c r="D20" s="379">
        <v>135.799274</v>
      </c>
      <c r="E20" s="379">
        <v>120.866474</v>
      </c>
      <c r="F20" s="379">
        <v>165.03599300000002</v>
      </c>
      <c r="G20" s="379">
        <v>143.049193</v>
      </c>
      <c r="H20" s="379">
        <v>194.27271199999998</v>
      </c>
      <c r="I20" s="379">
        <v>165.23191200000002</v>
      </c>
      <c r="J20" s="361"/>
      <c r="K20" s="362"/>
      <c r="L20" s="362"/>
      <c r="M20" s="362"/>
      <c r="N20" s="362"/>
      <c r="O20" s="362"/>
      <c r="P20" s="362"/>
    </row>
    <row r="21" spans="2:16" s="350" customFormat="1" ht="31.25" customHeight="1" thickBot="1">
      <c r="B21" s="613" t="s">
        <v>371</v>
      </c>
      <c r="C21" s="614"/>
      <c r="D21" s="380">
        <v>189.63460800000001</v>
      </c>
      <c r="E21" s="380">
        <v>174.587008</v>
      </c>
      <c r="F21" s="380">
        <v>50.842354999999998</v>
      </c>
      <c r="G21" s="380">
        <v>212.84608499999999</v>
      </c>
      <c r="H21" s="380">
        <v>280.37276200000002</v>
      </c>
      <c r="I21" s="380">
        <v>251.105163</v>
      </c>
      <c r="J21" s="363"/>
      <c r="K21" s="364"/>
      <c r="L21" s="364"/>
      <c r="M21" s="364"/>
      <c r="N21" s="364"/>
      <c r="O21" s="364"/>
      <c r="P21" s="364"/>
    </row>
    <row r="22" spans="2:16" s="350" customFormat="1" ht="31.25" hidden="1" customHeight="1">
      <c r="B22" s="602" t="s">
        <v>372</v>
      </c>
      <c r="C22" s="603"/>
      <c r="D22" s="365"/>
      <c r="E22" s="366"/>
      <c r="F22" s="365"/>
      <c r="G22" s="366"/>
      <c r="H22" s="365"/>
      <c r="I22" s="366"/>
      <c r="J22" s="367"/>
      <c r="K22" s="365"/>
      <c r="L22" s="366"/>
      <c r="M22" s="365"/>
      <c r="N22" s="366"/>
      <c r="O22" s="365"/>
      <c r="P22" s="366"/>
    </row>
    <row r="23" spans="2:16" s="350" customFormat="1" ht="31.25" hidden="1" customHeight="1" thickBot="1">
      <c r="B23" s="604" t="s">
        <v>373</v>
      </c>
      <c r="C23" s="605"/>
      <c r="D23" s="475">
        <v>64.691684210526319</v>
      </c>
      <c r="E23" s="475">
        <v>61.457099999999997</v>
      </c>
      <c r="F23" s="475">
        <v>66.082903225806447</v>
      </c>
      <c r="G23" s="475">
        <v>77.516947368421043</v>
      </c>
      <c r="H23" s="475">
        <v>68.285666666666671</v>
      </c>
      <c r="I23" s="475">
        <v>93.288152173913048</v>
      </c>
      <c r="J23" s="368"/>
      <c r="K23" s="433"/>
      <c r="L23" s="434"/>
      <c r="M23" s="433"/>
      <c r="N23" s="434"/>
      <c r="O23" s="433"/>
      <c r="P23" s="434"/>
    </row>
    <row r="24" spans="2:16" s="350" customFormat="1" ht="31.25" hidden="1" customHeight="1">
      <c r="B24" s="604" t="s">
        <v>374</v>
      </c>
      <c r="C24" s="605"/>
      <c r="D24" s="369"/>
      <c r="E24" s="369"/>
      <c r="F24" s="369"/>
      <c r="G24" s="369"/>
      <c r="H24" s="369"/>
      <c r="I24" s="369"/>
      <c r="J24" s="370"/>
      <c r="K24" s="369"/>
      <c r="L24" s="369"/>
      <c r="M24" s="369"/>
      <c r="N24" s="369"/>
      <c r="O24" s="369"/>
      <c r="P24" s="369"/>
    </row>
    <row r="25" spans="2:16" s="350" customFormat="1" ht="31.25" hidden="1" customHeight="1">
      <c r="B25" s="604" t="s">
        <v>375</v>
      </c>
      <c r="C25" s="605"/>
      <c r="D25" s="369"/>
      <c r="E25" s="369"/>
      <c r="F25" s="369"/>
      <c r="G25" s="369"/>
      <c r="H25" s="369"/>
      <c r="I25" s="369"/>
      <c r="J25" s="370"/>
      <c r="K25" s="369"/>
      <c r="L25" s="369"/>
      <c r="M25" s="369"/>
      <c r="N25" s="369"/>
      <c r="O25" s="369"/>
      <c r="P25" s="369"/>
    </row>
    <row r="26" spans="2:16" s="350" customFormat="1" ht="31.25" hidden="1" customHeight="1" thickBot="1">
      <c r="B26" s="606" t="s">
        <v>376</v>
      </c>
      <c r="C26" s="607"/>
      <c r="D26" s="371"/>
      <c r="E26" s="371"/>
      <c r="F26" s="371"/>
      <c r="G26" s="371"/>
      <c r="H26" s="371"/>
      <c r="I26" s="371"/>
      <c r="J26" s="372"/>
      <c r="K26" s="371"/>
      <c r="L26" s="371"/>
      <c r="M26" s="371"/>
      <c r="N26" s="371"/>
      <c r="O26" s="371"/>
      <c r="P26" s="371"/>
    </row>
    <row r="31" spans="2:16" hidden="1"/>
    <row r="32" spans="2:16" ht="15.5" hidden="1">
      <c r="B32" s="601">
        <v>1.1000000000000001</v>
      </c>
      <c r="C32" s="601"/>
      <c r="D32" s="601"/>
      <c r="E32" s="601"/>
      <c r="F32" s="601"/>
      <c r="G32" s="601"/>
      <c r="H32" s="601"/>
    </row>
    <row r="33" spans="2:8" hidden="1">
      <c r="B33" s="373" t="s">
        <v>377</v>
      </c>
      <c r="D33" t="s">
        <v>100</v>
      </c>
      <c r="H33" s="374"/>
    </row>
    <row r="34" spans="2:8" hidden="1">
      <c r="B34" s="373" t="s">
        <v>104</v>
      </c>
      <c r="D34" s="250">
        <v>100</v>
      </c>
      <c r="G34" t="s">
        <v>105</v>
      </c>
      <c r="H34" s="254" t="s">
        <v>11</v>
      </c>
    </row>
    <row r="35" spans="2:8" hidden="1">
      <c r="B35" s="373" t="s">
        <v>106</v>
      </c>
      <c r="D35" s="250" t="s">
        <v>143</v>
      </c>
      <c r="H35" s="374"/>
    </row>
    <row r="36" spans="2:8" hidden="1">
      <c r="B36" s="375" t="s">
        <v>129</v>
      </c>
      <c r="C36" s="94"/>
      <c r="D36" s="251" t="s">
        <v>127</v>
      </c>
      <c r="H36" s="374"/>
    </row>
    <row r="37" spans="2:8" hidden="1">
      <c r="B37" s="373" t="s">
        <v>236</v>
      </c>
      <c r="D37" s="252">
        <v>0</v>
      </c>
      <c r="H37" s="374"/>
    </row>
    <row r="38" spans="2:8" hidden="1">
      <c r="B38" s="373" t="s">
        <v>130</v>
      </c>
      <c r="D38" s="253">
        <v>1.1100000000000001</v>
      </c>
      <c r="E38" s="246">
        <v>3</v>
      </c>
      <c r="H38" s="374"/>
    </row>
    <row r="39" spans="2:8" hidden="1">
      <c r="B39" s="373" t="s">
        <v>110</v>
      </c>
      <c r="D39" s="250" t="s">
        <v>21</v>
      </c>
      <c r="H39" s="374"/>
    </row>
    <row r="40" spans="2:8" hidden="1">
      <c r="B40" s="375" t="s">
        <v>123</v>
      </c>
      <c r="C40" s="94"/>
      <c r="D40" s="251"/>
      <c r="F40" s="560" t="s">
        <v>219</v>
      </c>
      <c r="G40" s="561"/>
      <c r="H40" s="255">
        <v>0</v>
      </c>
    </row>
    <row r="41" spans="2:8" hidden="1">
      <c r="B41" s="373" t="s">
        <v>348</v>
      </c>
      <c r="D41" s="250" t="s">
        <v>143</v>
      </c>
      <c r="F41" s="560" t="s">
        <v>220</v>
      </c>
      <c r="G41" s="561"/>
      <c r="H41" s="255">
        <v>0</v>
      </c>
    </row>
    <row r="42" spans="2:8" hidden="1">
      <c r="B42" s="376" t="s">
        <v>349</v>
      </c>
      <c r="C42" s="377"/>
      <c r="D42" s="250" t="s">
        <v>143</v>
      </c>
      <c r="E42" s="377"/>
      <c r="F42" s="377"/>
      <c r="G42" s="377"/>
      <c r="H42" s="378"/>
    </row>
    <row r="43" spans="2:8" hidden="1"/>
    <row r="44" spans="2:8" ht="15.5" hidden="1">
      <c r="B44" s="601">
        <v>1.2</v>
      </c>
      <c r="C44" s="601"/>
      <c r="D44" s="601"/>
      <c r="E44" s="601"/>
      <c r="F44" s="601"/>
      <c r="G44" s="601"/>
      <c r="H44" s="601"/>
    </row>
    <row r="45" spans="2:8" hidden="1">
      <c r="B45" s="373" t="s">
        <v>377</v>
      </c>
      <c r="D45" t="s">
        <v>100</v>
      </c>
      <c r="H45" s="374"/>
    </row>
    <row r="46" spans="2:8" hidden="1">
      <c r="B46" s="373" t="s">
        <v>104</v>
      </c>
      <c r="D46" s="250">
        <v>100</v>
      </c>
      <c r="G46" t="s">
        <v>105</v>
      </c>
      <c r="H46" s="254" t="s">
        <v>11</v>
      </c>
    </row>
    <row r="47" spans="2:8" hidden="1">
      <c r="B47" s="373" t="s">
        <v>106</v>
      </c>
      <c r="D47" s="250" t="s">
        <v>143</v>
      </c>
      <c r="H47" s="374"/>
    </row>
    <row r="48" spans="2:8" hidden="1">
      <c r="B48" s="375" t="s">
        <v>129</v>
      </c>
      <c r="C48" s="94"/>
      <c r="D48" s="251" t="s">
        <v>127</v>
      </c>
      <c r="H48" s="374"/>
    </row>
    <row r="49" spans="2:8" hidden="1">
      <c r="B49" s="373" t="s">
        <v>236</v>
      </c>
      <c r="D49" s="252">
        <v>0</v>
      </c>
      <c r="H49" s="374"/>
    </row>
    <row r="50" spans="2:8" hidden="1">
      <c r="B50" s="373" t="s">
        <v>130</v>
      </c>
      <c r="D50" s="253">
        <v>2.08</v>
      </c>
      <c r="E50" s="246">
        <v>3</v>
      </c>
      <c r="H50" s="374"/>
    </row>
    <row r="51" spans="2:8" hidden="1">
      <c r="B51" s="373" t="s">
        <v>110</v>
      </c>
      <c r="D51" s="250" t="s">
        <v>21</v>
      </c>
      <c r="H51" s="374"/>
    </row>
    <row r="52" spans="2:8" hidden="1">
      <c r="B52" s="375" t="s">
        <v>123</v>
      </c>
      <c r="C52" s="94"/>
      <c r="D52" s="251"/>
      <c r="F52" s="560" t="s">
        <v>219</v>
      </c>
      <c r="G52" s="561"/>
      <c r="H52" s="255">
        <v>0</v>
      </c>
    </row>
    <row r="53" spans="2:8" hidden="1">
      <c r="B53" s="373" t="s">
        <v>348</v>
      </c>
      <c r="D53" s="250" t="s">
        <v>143</v>
      </c>
      <c r="F53" s="560" t="s">
        <v>220</v>
      </c>
      <c r="G53" s="561"/>
      <c r="H53" s="255">
        <v>0</v>
      </c>
    </row>
    <row r="54" spans="2:8" hidden="1">
      <c r="B54" s="376" t="s">
        <v>349</v>
      </c>
      <c r="C54" s="377"/>
      <c r="D54" s="250" t="s">
        <v>143</v>
      </c>
      <c r="E54" s="377"/>
      <c r="F54" s="377"/>
      <c r="G54" s="377"/>
      <c r="H54" s="378"/>
    </row>
    <row r="55" spans="2:8" hidden="1"/>
    <row r="56" spans="2:8" ht="15.5" hidden="1">
      <c r="B56" s="601">
        <v>1.3</v>
      </c>
      <c r="C56" s="601"/>
      <c r="D56" s="601"/>
      <c r="E56" s="601"/>
      <c r="F56" s="601"/>
      <c r="G56" s="601"/>
      <c r="H56" s="601"/>
    </row>
    <row r="57" spans="2:8" hidden="1">
      <c r="B57" s="373" t="s">
        <v>377</v>
      </c>
      <c r="D57" t="s">
        <v>100</v>
      </c>
      <c r="H57" s="374"/>
    </row>
    <row r="58" spans="2:8" hidden="1">
      <c r="B58" s="373" t="s">
        <v>104</v>
      </c>
      <c r="D58" s="250">
        <v>100</v>
      </c>
      <c r="G58" t="s">
        <v>105</v>
      </c>
      <c r="H58" s="254" t="s">
        <v>11</v>
      </c>
    </row>
    <row r="59" spans="2:8" hidden="1">
      <c r="B59" s="373" t="s">
        <v>106</v>
      </c>
      <c r="D59" s="250" t="s">
        <v>143</v>
      </c>
      <c r="H59" s="374"/>
    </row>
    <row r="60" spans="2:8" hidden="1">
      <c r="B60" s="375" t="s">
        <v>129</v>
      </c>
      <c r="C60" s="94"/>
      <c r="D60" s="251" t="s">
        <v>127</v>
      </c>
      <c r="H60" s="374"/>
    </row>
    <row r="61" spans="2:8" hidden="1">
      <c r="B61" s="373" t="s">
        <v>236</v>
      </c>
      <c r="D61" s="252">
        <v>0</v>
      </c>
      <c r="H61" s="374"/>
    </row>
    <row r="62" spans="2:8" hidden="1">
      <c r="B62" s="373" t="s">
        <v>130</v>
      </c>
      <c r="D62" s="253">
        <v>2.4</v>
      </c>
      <c r="E62" s="246">
        <v>3</v>
      </c>
      <c r="H62" s="374"/>
    </row>
    <row r="63" spans="2:8" hidden="1">
      <c r="B63" s="373" t="s">
        <v>110</v>
      </c>
      <c r="D63" s="250" t="s">
        <v>21</v>
      </c>
      <c r="H63" s="374"/>
    </row>
    <row r="64" spans="2:8" hidden="1">
      <c r="B64" s="375" t="s">
        <v>123</v>
      </c>
      <c r="C64" s="94"/>
      <c r="D64" s="251"/>
      <c r="F64" s="560" t="s">
        <v>219</v>
      </c>
      <c r="G64" s="561"/>
      <c r="H64" s="255">
        <v>0</v>
      </c>
    </row>
    <row r="65" spans="2:8" hidden="1">
      <c r="B65" s="373" t="s">
        <v>348</v>
      </c>
      <c r="D65" s="250" t="s">
        <v>143</v>
      </c>
      <c r="F65" s="560" t="s">
        <v>220</v>
      </c>
      <c r="G65" s="561"/>
      <c r="H65" s="255">
        <v>0</v>
      </c>
    </row>
    <row r="66" spans="2:8" hidden="1">
      <c r="B66" s="376" t="s">
        <v>349</v>
      </c>
      <c r="C66" s="377"/>
      <c r="D66" s="250" t="s">
        <v>143</v>
      </c>
      <c r="E66" s="377"/>
      <c r="F66" s="377"/>
      <c r="G66" s="377"/>
      <c r="H66" s="378"/>
    </row>
    <row r="67" spans="2:8" hidden="1"/>
    <row r="68" spans="2:8" ht="15.5" hidden="1">
      <c r="B68" s="601">
        <v>1.4</v>
      </c>
      <c r="C68" s="601"/>
      <c r="D68" s="601"/>
      <c r="E68" s="601"/>
      <c r="F68" s="601"/>
      <c r="G68" s="601"/>
      <c r="H68" s="601"/>
    </row>
    <row r="69" spans="2:8" hidden="1">
      <c r="B69" s="373" t="s">
        <v>377</v>
      </c>
      <c r="D69" t="s">
        <v>100</v>
      </c>
      <c r="H69" s="374"/>
    </row>
    <row r="70" spans="2:8" hidden="1">
      <c r="B70" s="373" t="s">
        <v>104</v>
      </c>
      <c r="D70" s="250">
        <v>100</v>
      </c>
      <c r="G70" t="s">
        <v>105</v>
      </c>
      <c r="H70" s="254" t="s">
        <v>11</v>
      </c>
    </row>
    <row r="71" spans="2:8" hidden="1">
      <c r="B71" s="373" t="s">
        <v>106</v>
      </c>
      <c r="D71" s="250" t="s">
        <v>143</v>
      </c>
      <c r="H71" s="374"/>
    </row>
    <row r="72" spans="2:8" hidden="1">
      <c r="B72" s="375" t="s">
        <v>129</v>
      </c>
      <c r="C72" s="94"/>
      <c r="D72" s="251" t="s">
        <v>127</v>
      </c>
      <c r="H72" s="374"/>
    </row>
    <row r="73" spans="2:8" hidden="1">
      <c r="B73" s="373" t="s">
        <v>236</v>
      </c>
      <c r="D73" s="252">
        <v>0</v>
      </c>
      <c r="H73" s="374"/>
    </row>
    <row r="74" spans="2:8" hidden="1">
      <c r="B74" s="373" t="s">
        <v>130</v>
      </c>
      <c r="D74" s="253">
        <v>3.05</v>
      </c>
      <c r="E74" s="246">
        <v>3</v>
      </c>
      <c r="H74" s="374"/>
    </row>
    <row r="75" spans="2:8" hidden="1">
      <c r="B75" s="373" t="s">
        <v>110</v>
      </c>
      <c r="D75" s="250" t="s">
        <v>21</v>
      </c>
      <c r="H75" s="374"/>
    </row>
    <row r="76" spans="2:8" hidden="1">
      <c r="B76" s="375" t="s">
        <v>123</v>
      </c>
      <c r="C76" s="94"/>
      <c r="D76" s="251"/>
      <c r="F76" s="560" t="s">
        <v>219</v>
      </c>
      <c r="G76" s="561"/>
      <c r="H76" s="255">
        <v>0</v>
      </c>
    </row>
    <row r="77" spans="2:8" hidden="1">
      <c r="B77" s="373" t="s">
        <v>348</v>
      </c>
      <c r="D77" s="250" t="s">
        <v>143</v>
      </c>
      <c r="F77" s="560" t="s">
        <v>220</v>
      </c>
      <c r="G77" s="561"/>
      <c r="H77" s="255">
        <v>0</v>
      </c>
    </row>
    <row r="78" spans="2:8" hidden="1">
      <c r="B78" s="376" t="s">
        <v>349</v>
      </c>
      <c r="C78" s="377"/>
      <c r="D78" s="250" t="s">
        <v>143</v>
      </c>
      <c r="E78" s="377"/>
      <c r="F78" s="377"/>
      <c r="G78" s="377"/>
      <c r="H78" s="378"/>
    </row>
    <row r="79" spans="2:8" hidden="1"/>
    <row r="80" spans="2:8" ht="15.5" hidden="1">
      <c r="B80" s="601">
        <v>1.5</v>
      </c>
      <c r="C80" s="601"/>
      <c r="D80" s="601"/>
      <c r="E80" s="601"/>
      <c r="F80" s="601"/>
      <c r="G80" s="601"/>
      <c r="H80" s="601"/>
    </row>
    <row r="81" spans="2:8" hidden="1">
      <c r="B81" s="373" t="s">
        <v>377</v>
      </c>
      <c r="D81" t="s">
        <v>100</v>
      </c>
      <c r="H81" s="374"/>
    </row>
    <row r="82" spans="2:8" hidden="1">
      <c r="B82" s="373" t="s">
        <v>104</v>
      </c>
      <c r="D82" s="250">
        <v>100</v>
      </c>
      <c r="G82" t="s">
        <v>105</v>
      </c>
      <c r="H82" s="254" t="s">
        <v>11</v>
      </c>
    </row>
    <row r="83" spans="2:8" hidden="1">
      <c r="B83" s="373" t="s">
        <v>106</v>
      </c>
      <c r="D83" s="250" t="s">
        <v>143</v>
      </c>
      <c r="H83" s="374"/>
    </row>
    <row r="84" spans="2:8" hidden="1">
      <c r="B84" s="375" t="s">
        <v>129</v>
      </c>
      <c r="C84" s="94"/>
      <c r="D84" s="251" t="s">
        <v>127</v>
      </c>
      <c r="H84" s="374"/>
    </row>
    <row r="85" spans="2:8" hidden="1">
      <c r="B85" s="373" t="s">
        <v>236</v>
      </c>
      <c r="D85" s="252">
        <v>0</v>
      </c>
      <c r="H85" s="374"/>
    </row>
    <row r="86" spans="2:8" hidden="1">
      <c r="B86" s="373" t="s">
        <v>130</v>
      </c>
      <c r="D86" s="253">
        <v>4.0199999999999996</v>
      </c>
      <c r="E86" s="246">
        <v>3</v>
      </c>
      <c r="H86" s="374"/>
    </row>
    <row r="87" spans="2:8" hidden="1">
      <c r="B87" s="373" t="s">
        <v>110</v>
      </c>
      <c r="D87" s="250" t="s">
        <v>21</v>
      </c>
      <c r="H87" s="374"/>
    </row>
    <row r="88" spans="2:8" hidden="1">
      <c r="B88" s="375" t="s">
        <v>123</v>
      </c>
      <c r="C88" s="94"/>
      <c r="D88" s="251"/>
      <c r="F88" s="560" t="s">
        <v>219</v>
      </c>
      <c r="G88" s="561"/>
      <c r="H88" s="255">
        <v>0</v>
      </c>
    </row>
    <row r="89" spans="2:8" hidden="1">
      <c r="B89" s="373" t="s">
        <v>348</v>
      </c>
      <c r="D89" s="250" t="s">
        <v>143</v>
      </c>
      <c r="F89" s="560" t="s">
        <v>220</v>
      </c>
      <c r="G89" s="561"/>
      <c r="H89" s="255">
        <v>0</v>
      </c>
    </row>
    <row r="90" spans="2:8" hidden="1">
      <c r="B90" s="376" t="s">
        <v>349</v>
      </c>
      <c r="C90" s="377"/>
      <c r="D90" s="250" t="s">
        <v>143</v>
      </c>
      <c r="E90" s="377"/>
      <c r="F90" s="377"/>
      <c r="G90" s="377"/>
      <c r="H90" s="378"/>
    </row>
    <row r="91" spans="2:8" hidden="1"/>
    <row r="92" spans="2:8" ht="15.5" hidden="1">
      <c r="B92" s="601">
        <v>2.1</v>
      </c>
      <c r="C92" s="601"/>
      <c r="D92" s="601"/>
      <c r="E92" s="601"/>
      <c r="F92" s="601"/>
      <c r="G92" s="601"/>
      <c r="H92" s="601"/>
    </row>
    <row r="93" spans="2:8" hidden="1">
      <c r="B93" s="373" t="s">
        <v>377</v>
      </c>
      <c r="D93" t="s">
        <v>100</v>
      </c>
      <c r="H93" s="374"/>
    </row>
    <row r="94" spans="2:8" hidden="1">
      <c r="B94" s="373" t="s">
        <v>104</v>
      </c>
      <c r="D94" s="250">
        <v>100</v>
      </c>
      <c r="G94" t="s">
        <v>105</v>
      </c>
      <c r="H94" s="254" t="s">
        <v>11</v>
      </c>
    </row>
    <row r="95" spans="2:8" hidden="1">
      <c r="B95" s="373" t="s">
        <v>106</v>
      </c>
      <c r="D95" s="250" t="s">
        <v>143</v>
      </c>
      <c r="H95" s="374"/>
    </row>
    <row r="96" spans="2:8" hidden="1">
      <c r="B96" s="375" t="s">
        <v>129</v>
      </c>
      <c r="C96" s="94"/>
      <c r="D96" s="251" t="s">
        <v>143</v>
      </c>
      <c r="H96" s="374"/>
    </row>
    <row r="97" spans="2:8" hidden="1">
      <c r="B97" s="373" t="s">
        <v>236</v>
      </c>
      <c r="D97" s="252">
        <v>0</v>
      </c>
      <c r="H97" s="374"/>
    </row>
    <row r="98" spans="2:8" hidden="1">
      <c r="B98" s="373" t="s">
        <v>130</v>
      </c>
      <c r="D98" s="253">
        <v>1.1100000000000001</v>
      </c>
      <c r="E98" s="246">
        <v>3</v>
      </c>
      <c r="H98" s="374"/>
    </row>
    <row r="99" spans="2:8" hidden="1">
      <c r="B99" s="373" t="s">
        <v>110</v>
      </c>
      <c r="D99" s="250" t="s">
        <v>21</v>
      </c>
      <c r="H99" s="374"/>
    </row>
    <row r="100" spans="2:8" hidden="1">
      <c r="B100" s="375" t="s">
        <v>123</v>
      </c>
      <c r="C100" s="94"/>
      <c r="D100" s="251"/>
      <c r="F100" s="560" t="s">
        <v>219</v>
      </c>
      <c r="G100" s="561"/>
      <c r="H100" s="255">
        <v>0</v>
      </c>
    </row>
    <row r="101" spans="2:8" hidden="1">
      <c r="B101" s="373" t="s">
        <v>348</v>
      </c>
      <c r="D101" s="250" t="s">
        <v>143</v>
      </c>
      <c r="F101" s="560" t="s">
        <v>220</v>
      </c>
      <c r="G101" s="561"/>
      <c r="H101" s="255">
        <v>0</v>
      </c>
    </row>
    <row r="102" spans="2:8" hidden="1">
      <c r="B102" s="376" t="s">
        <v>349</v>
      </c>
      <c r="C102" s="377"/>
      <c r="D102" s="250" t="s">
        <v>143</v>
      </c>
      <c r="E102" s="377"/>
      <c r="F102" s="377"/>
      <c r="G102" s="377"/>
      <c r="H102" s="378"/>
    </row>
    <row r="103" spans="2:8" hidden="1"/>
    <row r="104" spans="2:8" ht="15.5" hidden="1">
      <c r="B104" s="601">
        <v>2.2000000000000002</v>
      </c>
      <c r="C104" s="601"/>
      <c r="D104" s="601"/>
      <c r="E104" s="601"/>
      <c r="F104" s="601"/>
      <c r="G104" s="601"/>
      <c r="H104" s="601"/>
    </row>
    <row r="105" spans="2:8" hidden="1">
      <c r="B105" s="373" t="s">
        <v>377</v>
      </c>
      <c r="D105" s="87" t="s">
        <v>100</v>
      </c>
      <c r="H105" s="374"/>
    </row>
    <row r="106" spans="2:8" hidden="1">
      <c r="B106" s="373" t="s">
        <v>104</v>
      </c>
      <c r="D106" s="250">
        <v>100</v>
      </c>
      <c r="G106" t="s">
        <v>105</v>
      </c>
      <c r="H106" s="254" t="s">
        <v>11</v>
      </c>
    </row>
    <row r="107" spans="2:8" hidden="1">
      <c r="B107" s="373" t="s">
        <v>106</v>
      </c>
      <c r="D107" s="250" t="s">
        <v>143</v>
      </c>
      <c r="H107" s="374"/>
    </row>
    <row r="108" spans="2:8" hidden="1">
      <c r="B108" s="375" t="s">
        <v>129</v>
      </c>
      <c r="C108" s="94"/>
      <c r="D108" s="251" t="s">
        <v>143</v>
      </c>
      <c r="H108" s="374"/>
    </row>
    <row r="109" spans="2:8" hidden="1">
      <c r="B109" s="373" t="s">
        <v>236</v>
      </c>
      <c r="D109" s="252">
        <v>0</v>
      </c>
      <c r="H109" s="374"/>
    </row>
    <row r="110" spans="2:8" hidden="1">
      <c r="B110" s="373" t="s">
        <v>130</v>
      </c>
      <c r="D110" s="253">
        <v>2.08</v>
      </c>
      <c r="E110" s="246">
        <v>3</v>
      </c>
      <c r="H110" s="374"/>
    </row>
    <row r="111" spans="2:8" hidden="1">
      <c r="B111" s="373" t="s">
        <v>110</v>
      </c>
      <c r="D111" s="250" t="s">
        <v>21</v>
      </c>
      <c r="H111" s="374"/>
    </row>
    <row r="112" spans="2:8" hidden="1">
      <c r="B112" s="375" t="s">
        <v>123</v>
      </c>
      <c r="C112" s="94"/>
      <c r="D112" s="251"/>
      <c r="F112" s="560" t="s">
        <v>219</v>
      </c>
      <c r="G112" s="561"/>
      <c r="H112" s="255">
        <v>0</v>
      </c>
    </row>
    <row r="113" spans="2:8" hidden="1">
      <c r="B113" s="373" t="s">
        <v>348</v>
      </c>
      <c r="D113" s="250" t="s">
        <v>143</v>
      </c>
      <c r="F113" s="560" t="s">
        <v>220</v>
      </c>
      <c r="G113" s="561"/>
      <c r="H113" s="255">
        <v>0</v>
      </c>
    </row>
    <row r="114" spans="2:8" hidden="1">
      <c r="B114" s="376" t="s">
        <v>349</v>
      </c>
      <c r="C114" s="377"/>
      <c r="D114" s="250" t="s">
        <v>143</v>
      </c>
      <c r="E114" s="377"/>
      <c r="F114" s="377"/>
      <c r="G114" s="377"/>
      <c r="H114" s="378"/>
    </row>
    <row r="115" spans="2:8" hidden="1"/>
    <row r="116" spans="2:8" ht="15.5" hidden="1">
      <c r="B116" s="601">
        <v>2.2999999999999998</v>
      </c>
      <c r="C116" s="601"/>
      <c r="D116" s="601"/>
      <c r="E116" s="601"/>
      <c r="F116" s="601"/>
      <c r="G116" s="601"/>
      <c r="H116" s="601"/>
    </row>
    <row r="117" spans="2:8" hidden="1">
      <c r="B117" s="373" t="s">
        <v>377</v>
      </c>
      <c r="D117" s="87" t="s">
        <v>100</v>
      </c>
      <c r="H117" s="374"/>
    </row>
    <row r="118" spans="2:8" hidden="1">
      <c r="B118" s="373" t="s">
        <v>104</v>
      </c>
      <c r="D118" s="250">
        <v>100</v>
      </c>
      <c r="G118" t="s">
        <v>105</v>
      </c>
      <c r="H118" s="254" t="s">
        <v>11</v>
      </c>
    </row>
    <row r="119" spans="2:8" hidden="1">
      <c r="B119" s="373" t="s">
        <v>106</v>
      </c>
      <c r="D119" s="250" t="s">
        <v>143</v>
      </c>
      <c r="H119" s="374"/>
    </row>
    <row r="120" spans="2:8" hidden="1">
      <c r="B120" s="375" t="s">
        <v>129</v>
      </c>
      <c r="C120" s="94"/>
      <c r="D120" s="251" t="s">
        <v>143</v>
      </c>
      <c r="H120" s="374"/>
    </row>
    <row r="121" spans="2:8" hidden="1">
      <c r="B121" s="373" t="s">
        <v>236</v>
      </c>
      <c r="D121" s="252">
        <v>0</v>
      </c>
      <c r="H121" s="374"/>
    </row>
    <row r="122" spans="2:8" hidden="1">
      <c r="B122" s="373" t="s">
        <v>130</v>
      </c>
      <c r="D122" s="253">
        <v>2.4</v>
      </c>
      <c r="E122" s="246">
        <v>3</v>
      </c>
      <c r="H122" s="374"/>
    </row>
    <row r="123" spans="2:8" hidden="1">
      <c r="B123" s="373" t="s">
        <v>110</v>
      </c>
      <c r="D123" s="250" t="s">
        <v>21</v>
      </c>
      <c r="H123" s="374"/>
    </row>
    <row r="124" spans="2:8" hidden="1">
      <c r="B124" s="375" t="s">
        <v>123</v>
      </c>
      <c r="C124" s="94"/>
      <c r="D124" s="251"/>
      <c r="F124" s="560" t="s">
        <v>219</v>
      </c>
      <c r="G124" s="561"/>
      <c r="H124" s="255">
        <v>0</v>
      </c>
    </row>
    <row r="125" spans="2:8" hidden="1">
      <c r="B125" s="373" t="s">
        <v>348</v>
      </c>
      <c r="D125" s="250" t="s">
        <v>143</v>
      </c>
      <c r="F125" s="560" t="s">
        <v>220</v>
      </c>
      <c r="G125" s="561"/>
      <c r="H125" s="255">
        <v>0</v>
      </c>
    </row>
    <row r="126" spans="2:8" hidden="1">
      <c r="B126" s="376" t="s">
        <v>349</v>
      </c>
      <c r="C126" s="377"/>
      <c r="D126" s="250" t="s">
        <v>143</v>
      </c>
      <c r="E126" s="377"/>
      <c r="F126" s="377"/>
      <c r="G126" s="377"/>
      <c r="H126" s="378"/>
    </row>
    <row r="127" spans="2:8" hidden="1"/>
    <row r="128" spans="2:8" ht="15.5" hidden="1">
      <c r="B128" s="601">
        <v>2.4</v>
      </c>
      <c r="C128" s="601"/>
      <c r="D128" s="601"/>
      <c r="E128" s="601"/>
      <c r="F128" s="601"/>
      <c r="G128" s="601"/>
      <c r="H128" s="601"/>
    </row>
    <row r="129" spans="2:8" hidden="1">
      <c r="B129" s="373" t="s">
        <v>377</v>
      </c>
      <c r="D129" s="87" t="s">
        <v>100</v>
      </c>
      <c r="H129" s="374"/>
    </row>
    <row r="130" spans="2:8" hidden="1">
      <c r="B130" s="373" t="s">
        <v>104</v>
      </c>
      <c r="D130" s="250">
        <v>100</v>
      </c>
      <c r="G130" t="s">
        <v>105</v>
      </c>
      <c r="H130" s="254" t="s">
        <v>11</v>
      </c>
    </row>
    <row r="131" spans="2:8" hidden="1">
      <c r="B131" s="373" t="s">
        <v>106</v>
      </c>
      <c r="D131" s="250" t="s">
        <v>143</v>
      </c>
      <c r="H131" s="374"/>
    </row>
    <row r="132" spans="2:8" hidden="1">
      <c r="B132" s="375" t="s">
        <v>129</v>
      </c>
      <c r="C132" s="94"/>
      <c r="D132" s="251" t="s">
        <v>143</v>
      </c>
      <c r="H132" s="374"/>
    </row>
    <row r="133" spans="2:8" hidden="1">
      <c r="B133" s="373" t="s">
        <v>236</v>
      </c>
      <c r="D133" s="252">
        <v>0</v>
      </c>
      <c r="H133" s="374"/>
    </row>
    <row r="134" spans="2:8" hidden="1">
      <c r="B134" s="373" t="s">
        <v>130</v>
      </c>
      <c r="D134" s="253">
        <v>3.05</v>
      </c>
      <c r="E134" s="246">
        <v>3</v>
      </c>
      <c r="H134" s="374"/>
    </row>
    <row r="135" spans="2:8" hidden="1">
      <c r="B135" s="373" t="s">
        <v>110</v>
      </c>
      <c r="D135" s="250" t="s">
        <v>21</v>
      </c>
      <c r="H135" s="374"/>
    </row>
    <row r="136" spans="2:8" hidden="1">
      <c r="B136" s="375" t="s">
        <v>123</v>
      </c>
      <c r="C136" s="94"/>
      <c r="D136" s="251"/>
      <c r="F136" s="560" t="s">
        <v>219</v>
      </c>
      <c r="G136" s="561"/>
      <c r="H136" s="255">
        <v>0</v>
      </c>
    </row>
    <row r="137" spans="2:8" hidden="1">
      <c r="B137" s="373" t="s">
        <v>348</v>
      </c>
      <c r="D137" s="250" t="s">
        <v>143</v>
      </c>
      <c r="F137" s="560" t="s">
        <v>220</v>
      </c>
      <c r="G137" s="561"/>
      <c r="H137" s="255">
        <v>0</v>
      </c>
    </row>
    <row r="138" spans="2:8" hidden="1">
      <c r="B138" s="376" t="s">
        <v>349</v>
      </c>
      <c r="C138" s="377"/>
      <c r="D138" s="250" t="s">
        <v>143</v>
      </c>
      <c r="E138" s="377"/>
      <c r="F138" s="377"/>
      <c r="G138" s="377"/>
      <c r="H138" s="378"/>
    </row>
    <row r="139" spans="2:8" hidden="1"/>
    <row r="140" spans="2:8" ht="15.5" hidden="1">
      <c r="B140" s="601">
        <v>2.5</v>
      </c>
      <c r="C140" s="601"/>
      <c r="D140" s="601"/>
      <c r="E140" s="601"/>
      <c r="F140" s="601"/>
      <c r="G140" s="601"/>
      <c r="H140" s="601"/>
    </row>
    <row r="141" spans="2:8" hidden="1">
      <c r="B141" s="373" t="s">
        <v>377</v>
      </c>
      <c r="D141" s="87" t="s">
        <v>100</v>
      </c>
      <c r="H141" s="374"/>
    </row>
    <row r="142" spans="2:8" hidden="1">
      <c r="B142" s="373" t="s">
        <v>104</v>
      </c>
      <c r="D142" s="250">
        <v>100</v>
      </c>
      <c r="G142" t="s">
        <v>105</v>
      </c>
      <c r="H142" s="254" t="s">
        <v>11</v>
      </c>
    </row>
    <row r="143" spans="2:8" hidden="1">
      <c r="B143" s="373" t="s">
        <v>106</v>
      </c>
      <c r="D143" s="250" t="s">
        <v>143</v>
      </c>
      <c r="H143" s="374"/>
    </row>
    <row r="144" spans="2:8" hidden="1">
      <c r="B144" s="375" t="s">
        <v>129</v>
      </c>
      <c r="C144" s="94"/>
      <c r="D144" s="251" t="s">
        <v>143</v>
      </c>
      <c r="H144" s="374"/>
    </row>
    <row r="145" spans="2:8" hidden="1">
      <c r="B145" s="373" t="s">
        <v>236</v>
      </c>
      <c r="D145" s="252">
        <v>0</v>
      </c>
      <c r="H145" s="374"/>
    </row>
    <row r="146" spans="2:8" hidden="1">
      <c r="B146" s="373" t="s">
        <v>130</v>
      </c>
      <c r="D146" s="253">
        <v>4.0199999999999996</v>
      </c>
      <c r="E146" s="246">
        <v>3</v>
      </c>
      <c r="H146" s="374"/>
    </row>
    <row r="147" spans="2:8" hidden="1">
      <c r="B147" s="373" t="s">
        <v>110</v>
      </c>
      <c r="D147" s="250" t="s">
        <v>21</v>
      </c>
      <c r="H147" s="374"/>
    </row>
    <row r="148" spans="2:8" hidden="1">
      <c r="B148" s="375" t="s">
        <v>123</v>
      </c>
      <c r="C148" s="94"/>
      <c r="D148" s="251"/>
      <c r="E148">
        <v>73.672159000000008</v>
      </c>
      <c r="F148" s="560" t="s">
        <v>219</v>
      </c>
      <c r="G148" s="561"/>
      <c r="H148" s="255">
        <v>0</v>
      </c>
    </row>
    <row r="149" spans="2:8" hidden="1">
      <c r="B149" s="373" t="s">
        <v>348</v>
      </c>
      <c r="D149" s="250" t="s">
        <v>143</v>
      </c>
      <c r="F149" s="560" t="s">
        <v>220</v>
      </c>
      <c r="G149" s="561"/>
      <c r="H149" s="255">
        <v>0</v>
      </c>
    </row>
    <row r="150" spans="2:8" hidden="1">
      <c r="B150" s="376" t="s">
        <v>349</v>
      </c>
      <c r="C150" s="377"/>
      <c r="D150" s="250" t="s">
        <v>143</v>
      </c>
      <c r="E150" s="377"/>
      <c r="F150" s="377"/>
      <c r="G150" s="377"/>
      <c r="H150" s="378"/>
    </row>
    <row r="151" spans="2:8" hidden="1"/>
    <row r="152" spans="2:8" ht="15.5" hidden="1">
      <c r="B152" s="601">
        <v>3.2</v>
      </c>
      <c r="C152" s="601"/>
      <c r="D152" s="601"/>
      <c r="E152" s="601"/>
      <c r="F152" s="601"/>
      <c r="G152" s="601"/>
      <c r="H152" s="601"/>
    </row>
    <row r="153" spans="2:8" hidden="1">
      <c r="B153" s="373" t="s">
        <v>377</v>
      </c>
      <c r="D153" s="87" t="s">
        <v>100</v>
      </c>
      <c r="H153" s="374"/>
    </row>
    <row r="154" spans="2:8" hidden="1">
      <c r="B154" s="373" t="s">
        <v>104</v>
      </c>
      <c r="D154" s="250">
        <v>100</v>
      </c>
      <c r="G154" t="s">
        <v>105</v>
      </c>
      <c r="H154" s="254" t="s">
        <v>11</v>
      </c>
    </row>
    <row r="155" spans="2:8" hidden="1">
      <c r="B155" s="373" t="s">
        <v>106</v>
      </c>
      <c r="D155" s="250" t="s">
        <v>143</v>
      </c>
      <c r="H155" s="374"/>
    </row>
    <row r="156" spans="2:8" hidden="1">
      <c r="B156" s="375" t="s">
        <v>129</v>
      </c>
      <c r="C156" s="94"/>
      <c r="D156" s="251" t="s">
        <v>127</v>
      </c>
      <c r="H156" s="374"/>
    </row>
    <row r="157" spans="2:8" hidden="1">
      <c r="B157" s="373" t="s">
        <v>236</v>
      </c>
      <c r="D157" s="252">
        <v>0.5</v>
      </c>
      <c r="H157" s="374"/>
    </row>
    <row r="158" spans="2:8" hidden="1">
      <c r="B158" s="373" t="s">
        <v>130</v>
      </c>
      <c r="D158" s="253">
        <v>2.08</v>
      </c>
      <c r="E158" s="246">
        <v>3</v>
      </c>
      <c r="H158" s="374"/>
    </row>
    <row r="159" spans="2:8" hidden="1">
      <c r="B159" s="373" t="s">
        <v>110</v>
      </c>
      <c r="D159" s="250" t="s">
        <v>21</v>
      </c>
      <c r="H159" s="374"/>
    </row>
    <row r="160" spans="2:8" hidden="1">
      <c r="B160" s="375" t="s">
        <v>123</v>
      </c>
      <c r="C160" s="94"/>
      <c r="D160" s="251"/>
      <c r="F160" s="560" t="s">
        <v>219</v>
      </c>
      <c r="G160" s="561"/>
      <c r="H160" s="255">
        <v>0</v>
      </c>
    </row>
    <row r="161" spans="2:8" hidden="1">
      <c r="B161" s="373" t="s">
        <v>348</v>
      </c>
      <c r="D161" s="250" t="s">
        <v>143</v>
      </c>
      <c r="F161" s="560" t="s">
        <v>220</v>
      </c>
      <c r="G161" s="561"/>
      <c r="H161" s="255">
        <v>0</v>
      </c>
    </row>
    <row r="162" spans="2:8" hidden="1">
      <c r="B162" s="376" t="s">
        <v>349</v>
      </c>
      <c r="C162" s="377"/>
      <c r="D162" s="250" t="s">
        <v>143</v>
      </c>
      <c r="E162" s="377"/>
      <c r="F162" s="377"/>
      <c r="G162" s="377"/>
      <c r="H162" s="378"/>
    </row>
    <row r="163" spans="2:8" hidden="1"/>
    <row r="164" spans="2:8" ht="15.5" hidden="1">
      <c r="B164" s="601">
        <v>3.3</v>
      </c>
      <c r="C164" s="601"/>
      <c r="D164" s="601"/>
      <c r="E164" s="601"/>
      <c r="F164" s="601"/>
      <c r="G164" s="601"/>
      <c r="H164" s="601"/>
    </row>
    <row r="165" spans="2:8" hidden="1">
      <c r="B165" s="373" t="s">
        <v>377</v>
      </c>
      <c r="D165" s="87" t="s">
        <v>100</v>
      </c>
      <c r="H165" s="374"/>
    </row>
    <row r="166" spans="2:8" hidden="1">
      <c r="B166" s="373" t="s">
        <v>104</v>
      </c>
      <c r="D166" s="250">
        <v>100</v>
      </c>
      <c r="G166" t="s">
        <v>105</v>
      </c>
      <c r="H166" s="254" t="s">
        <v>11</v>
      </c>
    </row>
    <row r="167" spans="2:8" hidden="1">
      <c r="B167" s="373" t="s">
        <v>106</v>
      </c>
      <c r="D167" s="250" t="s">
        <v>143</v>
      </c>
      <c r="H167" s="374"/>
    </row>
    <row r="168" spans="2:8" hidden="1">
      <c r="B168" s="375" t="s">
        <v>129</v>
      </c>
      <c r="C168" s="94"/>
      <c r="D168" s="251" t="s">
        <v>127</v>
      </c>
      <c r="H168" s="374"/>
    </row>
    <row r="169" spans="2:8" hidden="1">
      <c r="B169" s="373" t="s">
        <v>236</v>
      </c>
      <c r="D169" s="252">
        <v>0.5</v>
      </c>
      <c r="H169" s="374"/>
    </row>
    <row r="170" spans="2:8" hidden="1">
      <c r="B170" s="373" t="s">
        <v>130</v>
      </c>
      <c r="D170" s="253">
        <v>2.4</v>
      </c>
      <c r="E170" s="246">
        <v>3</v>
      </c>
      <c r="H170" s="374"/>
    </row>
    <row r="171" spans="2:8" hidden="1">
      <c r="B171" s="373" t="s">
        <v>110</v>
      </c>
      <c r="D171" s="250" t="s">
        <v>21</v>
      </c>
      <c r="H171" s="374"/>
    </row>
    <row r="172" spans="2:8" hidden="1">
      <c r="B172" s="375" t="s">
        <v>123</v>
      </c>
      <c r="C172" s="94"/>
      <c r="D172" s="251"/>
      <c r="F172" s="560" t="s">
        <v>219</v>
      </c>
      <c r="G172" s="561"/>
      <c r="H172" s="255">
        <v>0</v>
      </c>
    </row>
    <row r="173" spans="2:8" hidden="1">
      <c r="B173" s="373" t="s">
        <v>348</v>
      </c>
      <c r="D173" s="250" t="s">
        <v>143</v>
      </c>
      <c r="F173" s="560" t="s">
        <v>220</v>
      </c>
      <c r="G173" s="561"/>
      <c r="H173" s="255">
        <v>0</v>
      </c>
    </row>
    <row r="174" spans="2:8" hidden="1">
      <c r="B174" s="376" t="s">
        <v>349</v>
      </c>
      <c r="C174" s="377"/>
      <c r="D174" s="250" t="s">
        <v>143</v>
      </c>
      <c r="E174" s="377"/>
      <c r="F174" s="377"/>
      <c r="G174" s="377"/>
      <c r="H174" s="378"/>
    </row>
    <row r="175" spans="2:8" hidden="1"/>
    <row r="176" spans="2:8" ht="15.5" hidden="1">
      <c r="B176" s="601">
        <v>3.4</v>
      </c>
      <c r="C176" s="601"/>
      <c r="D176" s="601"/>
      <c r="E176" s="601"/>
      <c r="F176" s="601"/>
      <c r="G176" s="601"/>
      <c r="H176" s="601"/>
    </row>
    <row r="177" spans="2:8" hidden="1">
      <c r="B177" s="373" t="s">
        <v>377</v>
      </c>
      <c r="D177" s="87" t="s">
        <v>100</v>
      </c>
      <c r="H177" s="374"/>
    </row>
    <row r="178" spans="2:8" hidden="1">
      <c r="B178" s="373" t="s">
        <v>104</v>
      </c>
      <c r="D178" s="250">
        <v>100</v>
      </c>
      <c r="G178" t="s">
        <v>105</v>
      </c>
      <c r="H178" s="254" t="s">
        <v>11</v>
      </c>
    </row>
    <row r="179" spans="2:8" hidden="1">
      <c r="B179" s="373" t="s">
        <v>106</v>
      </c>
      <c r="D179" s="250" t="s">
        <v>143</v>
      </c>
      <c r="H179" s="374"/>
    </row>
    <row r="180" spans="2:8" hidden="1">
      <c r="B180" s="375" t="s">
        <v>129</v>
      </c>
      <c r="C180" s="94"/>
      <c r="D180" s="251" t="s">
        <v>127</v>
      </c>
      <c r="H180" s="374"/>
    </row>
    <row r="181" spans="2:8" hidden="1">
      <c r="B181" s="373" t="s">
        <v>236</v>
      </c>
      <c r="D181" s="252">
        <v>0.5</v>
      </c>
      <c r="H181" s="374"/>
    </row>
    <row r="182" spans="2:8" hidden="1">
      <c r="B182" s="373" t="s">
        <v>130</v>
      </c>
      <c r="D182" s="253">
        <v>3.05</v>
      </c>
      <c r="E182" s="246">
        <v>3</v>
      </c>
      <c r="H182" s="374"/>
    </row>
    <row r="183" spans="2:8" hidden="1">
      <c r="B183" s="373" t="s">
        <v>110</v>
      </c>
      <c r="D183" s="250" t="s">
        <v>21</v>
      </c>
      <c r="H183" s="374"/>
    </row>
    <row r="184" spans="2:8" hidden="1">
      <c r="B184" s="375" t="s">
        <v>123</v>
      </c>
      <c r="C184" s="94"/>
      <c r="D184" s="251"/>
      <c r="F184" s="560" t="s">
        <v>219</v>
      </c>
      <c r="G184" s="561"/>
      <c r="H184" s="255">
        <v>0</v>
      </c>
    </row>
    <row r="185" spans="2:8" hidden="1">
      <c r="B185" s="373" t="s">
        <v>348</v>
      </c>
      <c r="D185" s="250" t="s">
        <v>143</v>
      </c>
      <c r="F185" s="560" t="s">
        <v>220</v>
      </c>
      <c r="G185" s="561"/>
      <c r="H185" s="255">
        <v>0</v>
      </c>
    </row>
    <row r="186" spans="2:8" hidden="1">
      <c r="B186" s="376" t="s">
        <v>349</v>
      </c>
      <c r="C186" s="377"/>
      <c r="D186" s="250" t="s">
        <v>143</v>
      </c>
      <c r="E186" s="377"/>
      <c r="F186" s="377"/>
      <c r="G186" s="377"/>
      <c r="H186" s="378"/>
    </row>
    <row r="187" spans="2:8" hidden="1"/>
    <row r="188" spans="2:8" ht="15.5" hidden="1">
      <c r="B188" s="601">
        <v>3.5</v>
      </c>
      <c r="C188" s="601"/>
      <c r="D188" s="601"/>
      <c r="E188" s="601"/>
      <c r="F188" s="601"/>
      <c r="G188" s="601"/>
      <c r="H188" s="601"/>
    </row>
    <row r="189" spans="2:8" hidden="1">
      <c r="B189" s="373" t="s">
        <v>377</v>
      </c>
      <c r="D189" s="87" t="s">
        <v>100</v>
      </c>
      <c r="H189" s="374"/>
    </row>
    <row r="190" spans="2:8" hidden="1">
      <c r="B190" s="373" t="s">
        <v>104</v>
      </c>
      <c r="D190" s="250">
        <v>100</v>
      </c>
      <c r="G190" t="s">
        <v>105</v>
      </c>
      <c r="H190" s="254" t="s">
        <v>11</v>
      </c>
    </row>
    <row r="191" spans="2:8" hidden="1">
      <c r="B191" s="373" t="s">
        <v>106</v>
      </c>
      <c r="D191" s="250" t="s">
        <v>143</v>
      </c>
      <c r="H191" s="374"/>
    </row>
    <row r="192" spans="2:8" hidden="1">
      <c r="B192" s="375" t="s">
        <v>129</v>
      </c>
      <c r="C192" s="94"/>
      <c r="D192" s="251" t="s">
        <v>127</v>
      </c>
      <c r="H192" s="374"/>
    </row>
    <row r="193" spans="2:8" hidden="1">
      <c r="B193" s="373" t="s">
        <v>236</v>
      </c>
      <c r="D193" s="252">
        <v>0.5</v>
      </c>
      <c r="H193" s="374"/>
    </row>
    <row r="194" spans="2:8" hidden="1">
      <c r="B194" s="373" t="s">
        <v>130</v>
      </c>
      <c r="D194" s="253">
        <v>1.1100000000000001</v>
      </c>
      <c r="E194" s="246">
        <v>3</v>
      </c>
      <c r="H194" s="374"/>
    </row>
    <row r="195" spans="2:8" hidden="1">
      <c r="B195" s="373" t="s">
        <v>110</v>
      </c>
      <c r="D195" s="250" t="s">
        <v>21</v>
      </c>
      <c r="H195" s="374"/>
    </row>
    <row r="196" spans="2:8" hidden="1">
      <c r="B196" s="375" t="s">
        <v>123</v>
      </c>
      <c r="C196" s="94"/>
      <c r="D196" s="251"/>
      <c r="F196" s="560" t="s">
        <v>219</v>
      </c>
      <c r="G196" s="561"/>
      <c r="H196" s="255">
        <v>0</v>
      </c>
    </row>
    <row r="197" spans="2:8" hidden="1">
      <c r="B197" s="373" t="s">
        <v>348</v>
      </c>
      <c r="D197" s="250" t="s">
        <v>143</v>
      </c>
      <c r="F197" s="560" t="s">
        <v>220</v>
      </c>
      <c r="G197" s="561"/>
      <c r="H197" s="255">
        <v>0</v>
      </c>
    </row>
    <row r="198" spans="2:8" hidden="1">
      <c r="B198" s="376" t="s">
        <v>349</v>
      </c>
      <c r="C198" s="377"/>
      <c r="D198" s="250" t="s">
        <v>143</v>
      </c>
      <c r="E198" s="377"/>
      <c r="F198" s="377"/>
      <c r="G198" s="377"/>
      <c r="H198" s="378"/>
    </row>
    <row r="199" spans="2:8" hidden="1"/>
    <row r="200" spans="2:8" ht="15.5" hidden="1">
      <c r="B200" s="601">
        <v>4.0999999999999996</v>
      </c>
      <c r="C200" s="601"/>
      <c r="D200" s="601"/>
      <c r="E200" s="601"/>
      <c r="F200" s="601"/>
      <c r="G200" s="601"/>
      <c r="H200" s="601"/>
    </row>
    <row r="201" spans="2:8" hidden="1">
      <c r="B201" s="373" t="s">
        <v>377</v>
      </c>
      <c r="D201" s="87" t="s">
        <v>100</v>
      </c>
      <c r="H201" s="374"/>
    </row>
    <row r="202" spans="2:8" hidden="1">
      <c r="B202" s="373" t="s">
        <v>104</v>
      </c>
      <c r="D202" s="250">
        <v>100</v>
      </c>
      <c r="G202" t="s">
        <v>105</v>
      </c>
      <c r="H202" s="254" t="s">
        <v>11</v>
      </c>
    </row>
    <row r="203" spans="2:8" hidden="1">
      <c r="B203" s="373" t="s">
        <v>106</v>
      </c>
      <c r="D203" s="250" t="s">
        <v>143</v>
      </c>
      <c r="H203" s="374"/>
    </row>
    <row r="204" spans="2:8" hidden="1">
      <c r="B204" s="375" t="s">
        <v>129</v>
      </c>
      <c r="C204" s="94"/>
      <c r="D204" s="251" t="s">
        <v>143</v>
      </c>
      <c r="H204" s="374"/>
    </row>
    <row r="205" spans="2:8" hidden="1">
      <c r="B205" s="373" t="s">
        <v>236</v>
      </c>
      <c r="D205" s="252">
        <v>0.5</v>
      </c>
      <c r="H205" s="374"/>
    </row>
    <row r="206" spans="2:8" hidden="1">
      <c r="B206" s="373" t="s">
        <v>130</v>
      </c>
      <c r="D206" s="253">
        <v>1.1100000000000001</v>
      </c>
      <c r="E206" s="246">
        <v>3</v>
      </c>
      <c r="H206" s="374"/>
    </row>
    <row r="207" spans="2:8" hidden="1">
      <c r="B207" s="373" t="s">
        <v>110</v>
      </c>
      <c r="D207" s="250" t="s">
        <v>21</v>
      </c>
      <c r="H207" s="374"/>
    </row>
    <row r="208" spans="2:8" hidden="1">
      <c r="B208" s="375" t="s">
        <v>123</v>
      </c>
      <c r="C208" s="94"/>
      <c r="D208" s="251"/>
      <c r="F208" s="560" t="s">
        <v>219</v>
      </c>
      <c r="G208" s="561"/>
      <c r="H208" s="255">
        <v>0</v>
      </c>
    </row>
    <row r="209" spans="2:8" hidden="1">
      <c r="B209" s="373" t="s">
        <v>348</v>
      </c>
      <c r="D209" s="250" t="s">
        <v>143</v>
      </c>
      <c r="F209" s="560" t="s">
        <v>220</v>
      </c>
      <c r="G209" s="561"/>
      <c r="H209" s="255">
        <v>0</v>
      </c>
    </row>
    <row r="210" spans="2:8" hidden="1">
      <c r="B210" s="376" t="s">
        <v>349</v>
      </c>
      <c r="C210" s="377"/>
      <c r="D210" s="250" t="s">
        <v>143</v>
      </c>
      <c r="E210" s="377"/>
      <c r="F210" s="377"/>
      <c r="G210" s="377"/>
      <c r="H210" s="378"/>
    </row>
    <row r="211" spans="2:8" hidden="1"/>
    <row r="212" spans="2:8" ht="15.5" hidden="1">
      <c r="B212" s="601">
        <v>4.2</v>
      </c>
      <c r="C212" s="601"/>
      <c r="D212" s="601"/>
      <c r="E212" s="601"/>
      <c r="F212" s="601"/>
      <c r="G212" s="601"/>
      <c r="H212" s="601"/>
    </row>
    <row r="213" spans="2:8" hidden="1">
      <c r="B213" s="373" t="s">
        <v>377</v>
      </c>
      <c r="D213" s="87" t="s">
        <v>100</v>
      </c>
      <c r="H213" s="374"/>
    </row>
    <row r="214" spans="2:8" hidden="1">
      <c r="B214" s="373" t="s">
        <v>104</v>
      </c>
      <c r="D214" s="250">
        <v>100</v>
      </c>
      <c r="G214" t="s">
        <v>105</v>
      </c>
      <c r="H214" s="254" t="s">
        <v>11</v>
      </c>
    </row>
    <row r="215" spans="2:8" hidden="1">
      <c r="B215" s="373" t="s">
        <v>106</v>
      </c>
      <c r="D215" s="250" t="s">
        <v>143</v>
      </c>
      <c r="H215" s="374"/>
    </row>
    <row r="216" spans="2:8" hidden="1">
      <c r="B216" s="375" t="s">
        <v>129</v>
      </c>
      <c r="C216" s="94"/>
      <c r="D216" s="251" t="s">
        <v>143</v>
      </c>
      <c r="H216" s="374"/>
    </row>
    <row r="217" spans="2:8" hidden="1">
      <c r="B217" s="373" t="s">
        <v>236</v>
      </c>
      <c r="D217" s="252">
        <v>0.5</v>
      </c>
      <c r="H217" s="374"/>
    </row>
    <row r="218" spans="2:8" hidden="1">
      <c r="B218" s="373" t="s">
        <v>130</v>
      </c>
      <c r="D218" s="253">
        <v>2.08</v>
      </c>
      <c r="E218" s="246">
        <v>3</v>
      </c>
      <c r="H218" s="374"/>
    </row>
    <row r="219" spans="2:8" hidden="1">
      <c r="B219" s="373" t="s">
        <v>110</v>
      </c>
      <c r="D219" s="250" t="s">
        <v>21</v>
      </c>
      <c r="H219" s="374"/>
    </row>
    <row r="220" spans="2:8" hidden="1">
      <c r="B220" s="375" t="s">
        <v>123</v>
      </c>
      <c r="C220" s="94"/>
      <c r="D220" s="251"/>
      <c r="F220" s="560" t="s">
        <v>219</v>
      </c>
      <c r="G220" s="561"/>
      <c r="H220" s="255">
        <v>0</v>
      </c>
    </row>
    <row r="221" spans="2:8" hidden="1">
      <c r="B221" s="373" t="s">
        <v>348</v>
      </c>
      <c r="D221" s="250" t="s">
        <v>143</v>
      </c>
      <c r="F221" s="560" t="s">
        <v>220</v>
      </c>
      <c r="G221" s="561"/>
      <c r="H221" s="255">
        <v>0</v>
      </c>
    </row>
    <row r="222" spans="2:8" hidden="1">
      <c r="B222" s="376" t="s">
        <v>349</v>
      </c>
      <c r="C222" s="377"/>
      <c r="D222" s="250" t="s">
        <v>143</v>
      </c>
      <c r="E222" s="377"/>
      <c r="F222" s="377"/>
      <c r="G222" s="377"/>
      <c r="H222" s="378"/>
    </row>
    <row r="223" spans="2:8" hidden="1"/>
    <row r="224" spans="2:8" ht="15.5" hidden="1">
      <c r="B224" s="601">
        <v>4.3</v>
      </c>
      <c r="C224" s="601"/>
      <c r="D224" s="601"/>
      <c r="E224" s="601"/>
      <c r="F224" s="601"/>
      <c r="G224" s="601"/>
      <c r="H224" s="601"/>
    </row>
    <row r="225" spans="2:8" hidden="1">
      <c r="B225" s="373" t="s">
        <v>377</v>
      </c>
      <c r="D225" s="87" t="s">
        <v>100</v>
      </c>
      <c r="H225" s="374"/>
    </row>
    <row r="226" spans="2:8" hidden="1">
      <c r="B226" s="373" t="s">
        <v>104</v>
      </c>
      <c r="D226" s="250">
        <v>100</v>
      </c>
      <c r="G226" t="s">
        <v>105</v>
      </c>
      <c r="H226" s="254" t="s">
        <v>11</v>
      </c>
    </row>
    <row r="227" spans="2:8" hidden="1">
      <c r="B227" s="373" t="s">
        <v>106</v>
      </c>
      <c r="D227" s="250" t="s">
        <v>143</v>
      </c>
      <c r="H227" s="374"/>
    </row>
    <row r="228" spans="2:8" hidden="1">
      <c r="B228" s="375" t="s">
        <v>129</v>
      </c>
      <c r="C228" s="94"/>
      <c r="D228" s="251" t="s">
        <v>143</v>
      </c>
      <c r="H228" s="374"/>
    </row>
    <row r="229" spans="2:8" hidden="1">
      <c r="B229" s="373" t="s">
        <v>236</v>
      </c>
      <c r="D229" s="252">
        <v>0.5</v>
      </c>
      <c r="H229" s="374"/>
    </row>
    <row r="230" spans="2:8" hidden="1">
      <c r="B230" s="373" t="s">
        <v>130</v>
      </c>
      <c r="D230" s="253">
        <v>2.4</v>
      </c>
      <c r="E230" s="246">
        <v>3</v>
      </c>
      <c r="H230" s="374"/>
    </row>
    <row r="231" spans="2:8" hidden="1">
      <c r="B231" s="373" t="s">
        <v>110</v>
      </c>
      <c r="D231" s="250" t="s">
        <v>21</v>
      </c>
      <c r="H231" s="374"/>
    </row>
    <row r="232" spans="2:8" hidden="1">
      <c r="B232" s="375" t="s">
        <v>123</v>
      </c>
      <c r="C232" s="94"/>
      <c r="D232" s="251"/>
      <c r="F232" s="560" t="s">
        <v>219</v>
      </c>
      <c r="G232" s="561"/>
      <c r="H232" s="255">
        <v>0</v>
      </c>
    </row>
    <row r="233" spans="2:8" hidden="1">
      <c r="B233" s="373" t="s">
        <v>348</v>
      </c>
      <c r="D233" s="250" t="s">
        <v>143</v>
      </c>
      <c r="F233" s="560" t="s">
        <v>220</v>
      </c>
      <c r="G233" s="561"/>
      <c r="H233" s="255">
        <v>0</v>
      </c>
    </row>
    <row r="234" spans="2:8" hidden="1">
      <c r="B234" s="376" t="s">
        <v>349</v>
      </c>
      <c r="C234" s="377"/>
      <c r="D234" s="250" t="s">
        <v>143</v>
      </c>
      <c r="E234" s="377"/>
      <c r="F234" s="377"/>
      <c r="G234" s="377"/>
      <c r="H234" s="378"/>
    </row>
    <row r="235" spans="2:8" hidden="1"/>
    <row r="236" spans="2:8" ht="15.5" hidden="1">
      <c r="B236" s="601">
        <v>4.4000000000000004</v>
      </c>
      <c r="C236" s="601"/>
      <c r="D236" s="601"/>
      <c r="E236" s="601"/>
      <c r="F236" s="601"/>
      <c r="G236" s="601"/>
      <c r="H236" s="601"/>
    </row>
    <row r="237" spans="2:8" hidden="1">
      <c r="B237" s="373" t="s">
        <v>377</v>
      </c>
      <c r="D237" s="87" t="s">
        <v>100</v>
      </c>
      <c r="H237" s="374"/>
    </row>
    <row r="238" spans="2:8" hidden="1">
      <c r="B238" s="373" t="s">
        <v>104</v>
      </c>
      <c r="D238" s="250">
        <v>100</v>
      </c>
      <c r="G238" t="s">
        <v>105</v>
      </c>
      <c r="H238" s="254" t="s">
        <v>11</v>
      </c>
    </row>
    <row r="239" spans="2:8" hidden="1">
      <c r="B239" s="373" t="s">
        <v>106</v>
      </c>
      <c r="D239" s="250" t="s">
        <v>143</v>
      </c>
      <c r="H239" s="374"/>
    </row>
    <row r="240" spans="2:8" hidden="1">
      <c r="B240" s="375" t="s">
        <v>129</v>
      </c>
      <c r="C240" s="94"/>
      <c r="D240" s="251" t="s">
        <v>143</v>
      </c>
      <c r="H240" s="374"/>
    </row>
    <row r="241" spans="2:8" hidden="1">
      <c r="B241" s="373" t="s">
        <v>236</v>
      </c>
      <c r="D241" s="252">
        <v>0.5</v>
      </c>
      <c r="H241" s="374"/>
    </row>
    <row r="242" spans="2:8" hidden="1">
      <c r="B242" s="373" t="s">
        <v>130</v>
      </c>
      <c r="D242" s="253">
        <v>3.05</v>
      </c>
      <c r="E242" s="246">
        <v>3</v>
      </c>
      <c r="H242" s="374"/>
    </row>
    <row r="243" spans="2:8" hidden="1">
      <c r="B243" s="373" t="s">
        <v>110</v>
      </c>
      <c r="D243" s="250" t="s">
        <v>21</v>
      </c>
      <c r="H243" s="374"/>
    </row>
    <row r="244" spans="2:8" hidden="1">
      <c r="B244" s="375" t="s">
        <v>123</v>
      </c>
      <c r="C244" s="94"/>
      <c r="D244" s="251"/>
      <c r="F244" s="560" t="s">
        <v>219</v>
      </c>
      <c r="G244" s="561"/>
      <c r="H244" s="255">
        <v>0</v>
      </c>
    </row>
    <row r="245" spans="2:8" hidden="1">
      <c r="B245" s="373" t="s">
        <v>348</v>
      </c>
      <c r="D245" s="250" t="s">
        <v>143</v>
      </c>
      <c r="F245" s="560" t="s">
        <v>220</v>
      </c>
      <c r="G245" s="561"/>
      <c r="H245" s="255">
        <v>0</v>
      </c>
    </row>
    <row r="246" spans="2:8" hidden="1">
      <c r="B246" s="376" t="s">
        <v>349</v>
      </c>
      <c r="C246" s="377"/>
      <c r="D246" s="250" t="s">
        <v>143</v>
      </c>
      <c r="E246" s="377"/>
      <c r="F246" s="377"/>
      <c r="G246" s="377"/>
      <c r="H246" s="378"/>
    </row>
    <row r="247" spans="2:8" hidden="1"/>
    <row r="248" spans="2:8" ht="15.5" hidden="1">
      <c r="B248" s="601">
        <v>4.5</v>
      </c>
      <c r="C248" s="601"/>
      <c r="D248" s="601"/>
      <c r="E248" s="601"/>
      <c r="F248" s="601"/>
      <c r="G248" s="601"/>
      <c r="H248" s="601"/>
    </row>
    <row r="249" spans="2:8" hidden="1">
      <c r="B249" s="373" t="s">
        <v>377</v>
      </c>
      <c r="D249" s="87" t="s">
        <v>100</v>
      </c>
      <c r="H249" s="374"/>
    </row>
    <row r="250" spans="2:8" hidden="1">
      <c r="B250" s="373" t="s">
        <v>104</v>
      </c>
      <c r="D250" s="250">
        <v>100</v>
      </c>
      <c r="G250" t="s">
        <v>105</v>
      </c>
      <c r="H250" s="254" t="s">
        <v>11</v>
      </c>
    </row>
    <row r="251" spans="2:8" hidden="1">
      <c r="B251" s="373" t="s">
        <v>106</v>
      </c>
      <c r="D251" s="250" t="s">
        <v>143</v>
      </c>
      <c r="H251" s="374"/>
    </row>
    <row r="252" spans="2:8" hidden="1">
      <c r="B252" s="375" t="s">
        <v>129</v>
      </c>
      <c r="C252" s="94"/>
      <c r="D252" s="251" t="s">
        <v>143</v>
      </c>
      <c r="H252" s="374"/>
    </row>
    <row r="253" spans="2:8" hidden="1">
      <c r="B253" s="373" t="s">
        <v>236</v>
      </c>
      <c r="D253" s="252">
        <v>0.5</v>
      </c>
      <c r="H253" s="374"/>
    </row>
    <row r="254" spans="2:8" hidden="1">
      <c r="B254" s="373" t="s">
        <v>130</v>
      </c>
      <c r="D254" s="253">
        <v>4.0199999999999996</v>
      </c>
      <c r="E254" s="246">
        <v>3</v>
      </c>
      <c r="H254" s="374"/>
    </row>
    <row r="255" spans="2:8" hidden="1">
      <c r="B255" s="373" t="s">
        <v>110</v>
      </c>
      <c r="D255" s="250" t="s">
        <v>21</v>
      </c>
      <c r="H255" s="374"/>
    </row>
    <row r="256" spans="2:8" hidden="1">
      <c r="B256" s="375" t="s">
        <v>123</v>
      </c>
      <c r="C256" s="94"/>
      <c r="D256" s="251"/>
      <c r="F256" s="560" t="s">
        <v>219</v>
      </c>
      <c r="G256" s="561"/>
      <c r="H256" s="255">
        <v>0</v>
      </c>
    </row>
    <row r="257" spans="2:8" hidden="1">
      <c r="B257" s="373" t="s">
        <v>348</v>
      </c>
      <c r="D257" s="250" t="s">
        <v>143</v>
      </c>
      <c r="F257" s="560" t="s">
        <v>220</v>
      </c>
      <c r="G257" s="561"/>
      <c r="H257" s="255">
        <v>0</v>
      </c>
    </row>
    <row r="258" spans="2:8" hidden="1">
      <c r="B258" s="376" t="s">
        <v>349</v>
      </c>
      <c r="C258" s="377"/>
      <c r="D258" s="250" t="s">
        <v>143</v>
      </c>
      <c r="E258" s="377"/>
      <c r="F258" s="377"/>
      <c r="G258" s="377"/>
      <c r="H258" s="378"/>
    </row>
    <row r="259" spans="2:8" hidden="1"/>
    <row r="260" spans="2:8" ht="15.5" hidden="1">
      <c r="B260" s="601">
        <v>5.2</v>
      </c>
      <c r="C260" s="601"/>
      <c r="D260" s="601"/>
      <c r="E260" s="601"/>
      <c r="F260" s="601"/>
      <c r="G260" s="601"/>
      <c r="H260" s="601"/>
    </row>
    <row r="261" spans="2:8" hidden="1">
      <c r="B261" s="373" t="s">
        <v>377</v>
      </c>
      <c r="D261" s="87" t="s">
        <v>100</v>
      </c>
      <c r="H261" s="374"/>
    </row>
    <row r="262" spans="2:8" hidden="1">
      <c r="B262" s="373" t="s">
        <v>104</v>
      </c>
      <c r="D262" s="250">
        <v>100</v>
      </c>
      <c r="G262" t="s">
        <v>105</v>
      </c>
      <c r="H262" s="254" t="s">
        <v>11</v>
      </c>
    </row>
    <row r="263" spans="2:8" hidden="1">
      <c r="B263" s="373" t="s">
        <v>106</v>
      </c>
      <c r="D263" s="250" t="s">
        <v>143</v>
      </c>
      <c r="H263" s="374"/>
    </row>
    <row r="264" spans="2:8" hidden="1">
      <c r="B264" s="375" t="s">
        <v>129</v>
      </c>
      <c r="C264" s="94"/>
      <c r="D264" s="251" t="s">
        <v>127</v>
      </c>
      <c r="H264" s="374"/>
    </row>
    <row r="265" spans="2:8" hidden="1">
      <c r="B265" s="373" t="s">
        <v>236</v>
      </c>
      <c r="D265" s="252">
        <v>1</v>
      </c>
      <c r="H265" s="374"/>
    </row>
    <row r="266" spans="2:8" hidden="1">
      <c r="B266" s="373" t="s">
        <v>130</v>
      </c>
      <c r="D266" s="253">
        <v>2.08</v>
      </c>
      <c r="E266" s="246">
        <v>3</v>
      </c>
      <c r="H266" s="374"/>
    </row>
    <row r="267" spans="2:8" hidden="1">
      <c r="B267" s="373" t="s">
        <v>110</v>
      </c>
      <c r="D267" s="250" t="s">
        <v>21</v>
      </c>
      <c r="H267" s="374"/>
    </row>
    <row r="268" spans="2:8" hidden="1">
      <c r="B268" s="375" t="s">
        <v>123</v>
      </c>
      <c r="C268" s="94"/>
      <c r="D268" s="251"/>
      <c r="F268" s="560" t="s">
        <v>219</v>
      </c>
      <c r="G268" s="561"/>
      <c r="H268" s="255">
        <v>0</v>
      </c>
    </row>
    <row r="269" spans="2:8" hidden="1">
      <c r="B269" s="373" t="s">
        <v>348</v>
      </c>
      <c r="D269" s="250" t="s">
        <v>143</v>
      </c>
      <c r="F269" s="560" t="s">
        <v>220</v>
      </c>
      <c r="G269" s="561"/>
      <c r="H269" s="255">
        <v>0</v>
      </c>
    </row>
    <row r="270" spans="2:8" hidden="1">
      <c r="B270" s="376" t="s">
        <v>349</v>
      </c>
      <c r="C270" s="377"/>
      <c r="D270" s="250" t="s">
        <v>143</v>
      </c>
      <c r="E270" s="377"/>
      <c r="F270" s="377"/>
      <c r="G270" s="377"/>
      <c r="H270" s="378"/>
    </row>
    <row r="271" spans="2:8" hidden="1"/>
    <row r="272" spans="2:8" ht="15.5" hidden="1">
      <c r="B272" s="601">
        <v>5.3</v>
      </c>
      <c r="C272" s="601"/>
      <c r="D272" s="601"/>
      <c r="E272" s="601"/>
      <c r="F272" s="601"/>
      <c r="G272" s="601"/>
      <c r="H272" s="601"/>
    </row>
    <row r="273" spans="2:8" hidden="1">
      <c r="B273" s="373" t="s">
        <v>377</v>
      </c>
      <c r="D273" s="87" t="s">
        <v>100</v>
      </c>
      <c r="H273" s="374"/>
    </row>
    <row r="274" spans="2:8" hidden="1">
      <c r="B274" s="373" t="s">
        <v>104</v>
      </c>
      <c r="D274" s="250">
        <v>100</v>
      </c>
      <c r="G274" t="s">
        <v>105</v>
      </c>
      <c r="H274" s="254" t="s">
        <v>11</v>
      </c>
    </row>
    <row r="275" spans="2:8" hidden="1">
      <c r="B275" s="373" t="s">
        <v>106</v>
      </c>
      <c r="D275" s="250" t="s">
        <v>143</v>
      </c>
      <c r="H275" s="374"/>
    </row>
    <row r="276" spans="2:8" hidden="1">
      <c r="B276" s="375" t="s">
        <v>129</v>
      </c>
      <c r="C276" s="94"/>
      <c r="D276" s="251" t="s">
        <v>127</v>
      </c>
      <c r="H276" s="374"/>
    </row>
    <row r="277" spans="2:8" hidden="1">
      <c r="B277" s="373" t="s">
        <v>236</v>
      </c>
      <c r="D277" s="252">
        <v>1</v>
      </c>
      <c r="H277" s="374"/>
    </row>
    <row r="278" spans="2:8" hidden="1">
      <c r="B278" s="373" t="s">
        <v>130</v>
      </c>
      <c r="D278" s="253">
        <v>2.4</v>
      </c>
      <c r="E278" s="246">
        <v>3</v>
      </c>
      <c r="H278" s="374"/>
    </row>
    <row r="279" spans="2:8" hidden="1">
      <c r="B279" s="373" t="s">
        <v>110</v>
      </c>
      <c r="D279" s="250" t="s">
        <v>21</v>
      </c>
      <c r="H279" s="374"/>
    </row>
    <row r="280" spans="2:8" hidden="1">
      <c r="B280" s="375" t="s">
        <v>123</v>
      </c>
      <c r="C280" s="94"/>
      <c r="D280" s="251"/>
      <c r="F280" s="560" t="s">
        <v>219</v>
      </c>
      <c r="G280" s="561"/>
      <c r="H280" s="255">
        <v>0</v>
      </c>
    </row>
    <row r="281" spans="2:8" hidden="1">
      <c r="B281" s="373" t="s">
        <v>348</v>
      </c>
      <c r="D281" s="250" t="s">
        <v>143</v>
      </c>
      <c r="F281" s="560" t="s">
        <v>220</v>
      </c>
      <c r="G281" s="561"/>
      <c r="H281" s="255">
        <v>0</v>
      </c>
    </row>
    <row r="282" spans="2:8" hidden="1">
      <c r="B282" s="376" t="s">
        <v>349</v>
      </c>
      <c r="C282" s="377"/>
      <c r="D282" s="250" t="s">
        <v>143</v>
      </c>
      <c r="E282" s="377"/>
      <c r="F282" s="377"/>
      <c r="G282" s="377"/>
      <c r="H282" s="378"/>
    </row>
    <row r="283" spans="2:8" hidden="1"/>
    <row r="284" spans="2:8" ht="15.5" hidden="1">
      <c r="B284" s="601">
        <v>5.4</v>
      </c>
      <c r="C284" s="601"/>
      <c r="D284" s="601"/>
      <c r="E284" s="601"/>
      <c r="F284" s="601"/>
      <c r="G284" s="601"/>
      <c r="H284" s="601"/>
    </row>
    <row r="285" spans="2:8" hidden="1">
      <c r="B285" s="373" t="s">
        <v>377</v>
      </c>
      <c r="D285" s="87" t="s">
        <v>100</v>
      </c>
      <c r="H285" s="374"/>
    </row>
    <row r="286" spans="2:8" hidden="1">
      <c r="B286" s="373" t="s">
        <v>104</v>
      </c>
      <c r="D286" s="250">
        <v>100</v>
      </c>
      <c r="G286" t="s">
        <v>105</v>
      </c>
      <c r="H286" s="254" t="s">
        <v>11</v>
      </c>
    </row>
    <row r="287" spans="2:8" hidden="1">
      <c r="B287" s="373" t="s">
        <v>106</v>
      </c>
      <c r="D287" s="250" t="s">
        <v>143</v>
      </c>
      <c r="H287" s="374"/>
    </row>
    <row r="288" spans="2:8" hidden="1">
      <c r="B288" s="375" t="s">
        <v>129</v>
      </c>
      <c r="C288" s="94"/>
      <c r="D288" s="251" t="s">
        <v>127</v>
      </c>
      <c r="H288" s="374"/>
    </row>
    <row r="289" spans="2:8" hidden="1">
      <c r="B289" s="373" t="s">
        <v>236</v>
      </c>
      <c r="D289" s="252">
        <v>1</v>
      </c>
      <c r="H289" s="374"/>
    </row>
    <row r="290" spans="2:8" hidden="1">
      <c r="B290" s="373" t="s">
        <v>130</v>
      </c>
      <c r="D290" s="253">
        <v>3.05</v>
      </c>
      <c r="E290" s="246">
        <v>3</v>
      </c>
      <c r="H290" s="374"/>
    </row>
    <row r="291" spans="2:8" hidden="1">
      <c r="B291" s="373" t="s">
        <v>110</v>
      </c>
      <c r="D291" s="250" t="s">
        <v>21</v>
      </c>
      <c r="H291" s="374"/>
    </row>
    <row r="292" spans="2:8" hidden="1">
      <c r="B292" s="375" t="s">
        <v>123</v>
      </c>
      <c r="C292" s="94"/>
      <c r="D292" s="251"/>
      <c r="F292" s="560" t="s">
        <v>219</v>
      </c>
      <c r="G292" s="561"/>
      <c r="H292" s="255">
        <v>0</v>
      </c>
    </row>
    <row r="293" spans="2:8" hidden="1">
      <c r="B293" s="373" t="s">
        <v>348</v>
      </c>
      <c r="D293" s="250" t="s">
        <v>143</v>
      </c>
      <c r="F293" s="560" t="s">
        <v>220</v>
      </c>
      <c r="G293" s="561"/>
      <c r="H293" s="255">
        <v>0</v>
      </c>
    </row>
    <row r="294" spans="2:8" hidden="1">
      <c r="B294" s="376" t="s">
        <v>349</v>
      </c>
      <c r="C294" s="377"/>
      <c r="D294" s="250" t="s">
        <v>143</v>
      </c>
      <c r="E294" s="377"/>
      <c r="F294" s="377"/>
      <c r="G294" s="377"/>
      <c r="H294" s="378"/>
    </row>
    <row r="295" spans="2:8" hidden="1"/>
    <row r="296" spans="2:8" ht="15.5" hidden="1">
      <c r="B296" s="601">
        <v>5.5</v>
      </c>
      <c r="C296" s="601"/>
      <c r="D296" s="601"/>
      <c r="E296" s="601"/>
      <c r="F296" s="601"/>
      <c r="G296" s="601"/>
      <c r="H296" s="601"/>
    </row>
    <row r="297" spans="2:8" hidden="1">
      <c r="B297" s="373" t="s">
        <v>377</v>
      </c>
      <c r="D297" s="87" t="s">
        <v>100</v>
      </c>
      <c r="H297" s="374"/>
    </row>
    <row r="298" spans="2:8" hidden="1">
      <c r="B298" s="373" t="s">
        <v>104</v>
      </c>
      <c r="D298" s="250">
        <v>100</v>
      </c>
      <c r="G298" t="s">
        <v>105</v>
      </c>
      <c r="H298" s="254" t="s">
        <v>11</v>
      </c>
    </row>
    <row r="299" spans="2:8" hidden="1">
      <c r="B299" s="373" t="s">
        <v>106</v>
      </c>
      <c r="D299" s="250" t="s">
        <v>143</v>
      </c>
      <c r="H299" s="374"/>
    </row>
    <row r="300" spans="2:8" hidden="1">
      <c r="B300" s="375" t="s">
        <v>129</v>
      </c>
      <c r="C300" s="94"/>
      <c r="D300" s="251" t="s">
        <v>127</v>
      </c>
      <c r="H300" s="374"/>
    </row>
    <row r="301" spans="2:8" hidden="1">
      <c r="B301" s="373" t="s">
        <v>236</v>
      </c>
      <c r="D301" s="252">
        <v>1</v>
      </c>
      <c r="H301" s="374"/>
    </row>
    <row r="302" spans="2:8" hidden="1">
      <c r="B302" s="373" t="s">
        <v>130</v>
      </c>
      <c r="D302" s="253">
        <v>4.0199999999999996</v>
      </c>
      <c r="E302" s="246">
        <v>3</v>
      </c>
      <c r="H302" s="374"/>
    </row>
    <row r="303" spans="2:8" hidden="1">
      <c r="B303" s="373" t="s">
        <v>110</v>
      </c>
      <c r="D303" s="250" t="s">
        <v>21</v>
      </c>
      <c r="H303" s="374"/>
    </row>
    <row r="304" spans="2:8" hidden="1">
      <c r="B304" s="375" t="s">
        <v>123</v>
      </c>
      <c r="C304" s="94"/>
      <c r="D304" s="251"/>
      <c r="F304" s="560" t="s">
        <v>219</v>
      </c>
      <c r="G304" s="561"/>
      <c r="H304" s="255">
        <v>0</v>
      </c>
    </row>
    <row r="305" spans="2:8" hidden="1">
      <c r="B305" s="373" t="s">
        <v>348</v>
      </c>
      <c r="D305" s="250" t="s">
        <v>143</v>
      </c>
      <c r="F305" s="560" t="s">
        <v>220</v>
      </c>
      <c r="G305" s="561"/>
      <c r="H305" s="255">
        <v>0</v>
      </c>
    </row>
    <row r="306" spans="2:8" hidden="1">
      <c r="B306" s="376" t="s">
        <v>349</v>
      </c>
      <c r="C306" s="377"/>
      <c r="D306" s="250" t="s">
        <v>143</v>
      </c>
      <c r="E306" s="377"/>
      <c r="F306" s="377"/>
      <c r="G306" s="377"/>
      <c r="H306" s="378"/>
    </row>
    <row r="307" spans="2:8" hidden="1"/>
    <row r="308" spans="2:8" ht="15.5" hidden="1">
      <c r="B308" s="601">
        <v>6.1</v>
      </c>
      <c r="C308" s="601"/>
      <c r="D308" s="601"/>
      <c r="E308" s="601"/>
      <c r="F308" s="601"/>
      <c r="G308" s="601"/>
      <c r="H308" s="601"/>
    </row>
    <row r="309" spans="2:8" hidden="1">
      <c r="B309" s="373" t="s">
        <v>377</v>
      </c>
      <c r="D309" s="87" t="s">
        <v>100</v>
      </c>
      <c r="H309" s="374"/>
    </row>
    <row r="310" spans="2:8" hidden="1">
      <c r="B310" s="373" t="s">
        <v>104</v>
      </c>
      <c r="D310" s="250">
        <v>100</v>
      </c>
      <c r="G310" t="s">
        <v>105</v>
      </c>
      <c r="H310" s="254" t="s">
        <v>11</v>
      </c>
    </row>
    <row r="311" spans="2:8" hidden="1">
      <c r="B311" s="373" t="s">
        <v>106</v>
      </c>
      <c r="D311" s="250" t="s">
        <v>143</v>
      </c>
      <c r="H311" s="374"/>
    </row>
    <row r="312" spans="2:8" hidden="1">
      <c r="B312" s="375" t="s">
        <v>129</v>
      </c>
      <c r="C312" s="94"/>
      <c r="D312" s="251" t="s">
        <v>143</v>
      </c>
      <c r="H312" s="374"/>
    </row>
    <row r="313" spans="2:8" hidden="1">
      <c r="B313" s="373" t="s">
        <v>236</v>
      </c>
      <c r="D313" s="252">
        <v>1</v>
      </c>
      <c r="H313" s="374"/>
    </row>
    <row r="314" spans="2:8" hidden="1">
      <c r="B314" s="373" t="s">
        <v>130</v>
      </c>
      <c r="D314" s="253">
        <v>1.1100000000000001</v>
      </c>
      <c r="E314" s="246">
        <v>3</v>
      </c>
      <c r="H314" s="374"/>
    </row>
    <row r="315" spans="2:8" hidden="1">
      <c r="B315" s="373" t="s">
        <v>110</v>
      </c>
      <c r="D315" s="250" t="s">
        <v>21</v>
      </c>
      <c r="H315" s="374"/>
    </row>
    <row r="316" spans="2:8" hidden="1">
      <c r="B316" s="375" t="s">
        <v>123</v>
      </c>
      <c r="C316" s="94"/>
      <c r="D316" s="251"/>
      <c r="F316" s="560" t="s">
        <v>219</v>
      </c>
      <c r="G316" s="561"/>
      <c r="H316" s="255">
        <v>0</v>
      </c>
    </row>
    <row r="317" spans="2:8" hidden="1">
      <c r="B317" s="373" t="s">
        <v>348</v>
      </c>
      <c r="D317" s="250" t="s">
        <v>143</v>
      </c>
      <c r="F317" s="560" t="s">
        <v>220</v>
      </c>
      <c r="G317" s="561"/>
      <c r="H317" s="255">
        <v>0</v>
      </c>
    </row>
    <row r="318" spans="2:8" hidden="1">
      <c r="B318" s="376" t="s">
        <v>349</v>
      </c>
      <c r="C318" s="377"/>
      <c r="D318" s="250" t="s">
        <v>143</v>
      </c>
      <c r="E318" s="377"/>
      <c r="F318" s="377"/>
      <c r="G318" s="377"/>
      <c r="H318" s="378"/>
    </row>
    <row r="319" spans="2:8" hidden="1"/>
    <row r="320" spans="2:8" ht="15.5" hidden="1">
      <c r="B320" s="601">
        <v>6.2</v>
      </c>
      <c r="C320" s="601"/>
      <c r="D320" s="601"/>
      <c r="E320" s="601"/>
      <c r="F320" s="601"/>
      <c r="G320" s="601"/>
      <c r="H320" s="601"/>
    </row>
    <row r="321" spans="2:8" hidden="1">
      <c r="B321" s="373" t="s">
        <v>377</v>
      </c>
      <c r="D321" s="87" t="s">
        <v>100</v>
      </c>
      <c r="H321" s="374"/>
    </row>
    <row r="322" spans="2:8" hidden="1">
      <c r="B322" s="373" t="s">
        <v>104</v>
      </c>
      <c r="D322" s="250">
        <v>100</v>
      </c>
      <c r="G322" t="s">
        <v>105</v>
      </c>
      <c r="H322" s="254" t="s">
        <v>11</v>
      </c>
    </row>
    <row r="323" spans="2:8" hidden="1">
      <c r="B323" s="373" t="s">
        <v>106</v>
      </c>
      <c r="D323" s="250" t="s">
        <v>143</v>
      </c>
      <c r="H323" s="374"/>
    </row>
    <row r="324" spans="2:8" hidden="1">
      <c r="B324" s="375" t="s">
        <v>129</v>
      </c>
      <c r="C324" s="94"/>
      <c r="D324" s="251" t="s">
        <v>143</v>
      </c>
      <c r="H324" s="374"/>
    </row>
    <row r="325" spans="2:8" hidden="1">
      <c r="B325" s="373" t="s">
        <v>236</v>
      </c>
      <c r="D325" s="252">
        <v>1</v>
      </c>
      <c r="H325" s="374"/>
    </row>
    <row r="326" spans="2:8" hidden="1">
      <c r="B326" s="373" t="s">
        <v>130</v>
      </c>
      <c r="D326" s="253">
        <v>2.08</v>
      </c>
      <c r="E326" s="246">
        <v>3</v>
      </c>
      <c r="H326" s="374"/>
    </row>
    <row r="327" spans="2:8" hidden="1">
      <c r="B327" s="373" t="s">
        <v>110</v>
      </c>
      <c r="D327" s="250" t="s">
        <v>21</v>
      </c>
      <c r="H327" s="374"/>
    </row>
    <row r="328" spans="2:8" hidden="1">
      <c r="B328" s="375" t="s">
        <v>123</v>
      </c>
      <c r="C328" s="94"/>
      <c r="D328" s="251"/>
      <c r="F328" s="560" t="s">
        <v>219</v>
      </c>
      <c r="G328" s="561"/>
      <c r="H328" s="255">
        <v>0</v>
      </c>
    </row>
    <row r="329" spans="2:8" hidden="1">
      <c r="B329" s="373" t="s">
        <v>348</v>
      </c>
      <c r="D329" s="250" t="s">
        <v>143</v>
      </c>
      <c r="F329" s="560" t="s">
        <v>220</v>
      </c>
      <c r="G329" s="561"/>
      <c r="H329" s="255">
        <v>0</v>
      </c>
    </row>
    <row r="330" spans="2:8" hidden="1">
      <c r="B330" s="376" t="s">
        <v>349</v>
      </c>
      <c r="C330" s="377"/>
      <c r="D330" s="250" t="s">
        <v>143</v>
      </c>
      <c r="E330" s="377"/>
      <c r="F330" s="377"/>
      <c r="G330" s="377"/>
      <c r="H330" s="378"/>
    </row>
    <row r="331" spans="2:8" hidden="1"/>
    <row r="332" spans="2:8" ht="15.5" hidden="1">
      <c r="B332" s="601">
        <v>6.3</v>
      </c>
      <c r="C332" s="601"/>
      <c r="D332" s="601"/>
      <c r="E332" s="601"/>
      <c r="F332" s="601"/>
      <c r="G332" s="601"/>
      <c r="H332" s="601"/>
    </row>
    <row r="333" spans="2:8" hidden="1">
      <c r="B333" s="373" t="s">
        <v>377</v>
      </c>
      <c r="D333" s="87" t="s">
        <v>100</v>
      </c>
      <c r="H333" s="374"/>
    </row>
    <row r="334" spans="2:8" hidden="1">
      <c r="B334" s="373" t="s">
        <v>104</v>
      </c>
      <c r="D334" s="250">
        <v>100</v>
      </c>
      <c r="G334" t="s">
        <v>105</v>
      </c>
      <c r="H334" s="254" t="s">
        <v>11</v>
      </c>
    </row>
    <row r="335" spans="2:8" hidden="1">
      <c r="B335" s="373" t="s">
        <v>106</v>
      </c>
      <c r="D335" s="250" t="s">
        <v>143</v>
      </c>
      <c r="H335" s="374"/>
    </row>
    <row r="336" spans="2:8" hidden="1">
      <c r="B336" s="375" t="s">
        <v>129</v>
      </c>
      <c r="C336" s="94"/>
      <c r="D336" s="251" t="s">
        <v>143</v>
      </c>
      <c r="H336" s="374"/>
    </row>
    <row r="337" spans="2:8" hidden="1">
      <c r="B337" s="373" t="s">
        <v>236</v>
      </c>
      <c r="D337" s="252">
        <v>1</v>
      </c>
      <c r="H337" s="374"/>
    </row>
    <row r="338" spans="2:8" hidden="1">
      <c r="B338" s="373" t="s">
        <v>130</v>
      </c>
      <c r="D338" s="253">
        <v>2.4</v>
      </c>
      <c r="E338" s="246">
        <v>3</v>
      </c>
      <c r="H338" s="374"/>
    </row>
    <row r="339" spans="2:8" hidden="1">
      <c r="B339" s="373" t="s">
        <v>110</v>
      </c>
      <c r="D339" s="250" t="s">
        <v>21</v>
      </c>
      <c r="H339" s="374"/>
    </row>
    <row r="340" spans="2:8" hidden="1">
      <c r="B340" s="375" t="s">
        <v>123</v>
      </c>
      <c r="C340" s="94"/>
      <c r="D340" s="251"/>
      <c r="F340" s="560" t="s">
        <v>219</v>
      </c>
      <c r="G340" s="561"/>
      <c r="H340" s="255">
        <v>0</v>
      </c>
    </row>
    <row r="341" spans="2:8" hidden="1">
      <c r="B341" s="373" t="s">
        <v>348</v>
      </c>
      <c r="D341" s="250" t="s">
        <v>143</v>
      </c>
      <c r="F341" s="560" t="s">
        <v>220</v>
      </c>
      <c r="G341" s="561"/>
      <c r="H341" s="255">
        <v>0</v>
      </c>
    </row>
    <row r="342" spans="2:8" hidden="1">
      <c r="B342" s="376" t="s">
        <v>349</v>
      </c>
      <c r="C342" s="377"/>
      <c r="D342" s="250" t="s">
        <v>143</v>
      </c>
      <c r="E342" s="377"/>
      <c r="F342" s="377"/>
      <c r="G342" s="377"/>
      <c r="H342" s="378"/>
    </row>
    <row r="343" spans="2:8" hidden="1"/>
    <row r="344" spans="2:8" ht="15.5" hidden="1">
      <c r="B344" s="601">
        <v>6.4</v>
      </c>
      <c r="C344" s="601"/>
      <c r="D344" s="601"/>
      <c r="E344" s="601"/>
      <c r="F344" s="601"/>
      <c r="G344" s="601"/>
      <c r="H344" s="601"/>
    </row>
    <row r="345" spans="2:8" hidden="1">
      <c r="B345" s="373" t="s">
        <v>377</v>
      </c>
      <c r="D345" s="87" t="s">
        <v>100</v>
      </c>
      <c r="H345" s="374"/>
    </row>
    <row r="346" spans="2:8" hidden="1">
      <c r="B346" s="373" t="s">
        <v>104</v>
      </c>
      <c r="D346" s="250">
        <v>100</v>
      </c>
      <c r="G346" t="s">
        <v>105</v>
      </c>
      <c r="H346" s="254" t="s">
        <v>11</v>
      </c>
    </row>
    <row r="347" spans="2:8" hidden="1">
      <c r="B347" s="373" t="s">
        <v>106</v>
      </c>
      <c r="D347" s="250" t="s">
        <v>143</v>
      </c>
      <c r="H347" s="374"/>
    </row>
    <row r="348" spans="2:8" hidden="1">
      <c r="B348" s="375" t="s">
        <v>129</v>
      </c>
      <c r="C348" s="94"/>
      <c r="D348" s="251" t="s">
        <v>143</v>
      </c>
      <c r="H348" s="374"/>
    </row>
    <row r="349" spans="2:8" hidden="1">
      <c r="B349" s="373" t="s">
        <v>236</v>
      </c>
      <c r="D349" s="252">
        <v>1</v>
      </c>
      <c r="H349" s="374"/>
    </row>
    <row r="350" spans="2:8" hidden="1">
      <c r="B350" s="373" t="s">
        <v>130</v>
      </c>
      <c r="D350" s="253">
        <v>3.05</v>
      </c>
      <c r="E350" s="246">
        <v>3</v>
      </c>
      <c r="H350" s="374"/>
    </row>
    <row r="351" spans="2:8" hidden="1">
      <c r="B351" s="373" t="s">
        <v>110</v>
      </c>
      <c r="D351" s="250" t="s">
        <v>21</v>
      </c>
      <c r="H351" s="374"/>
    </row>
    <row r="352" spans="2:8" hidden="1">
      <c r="B352" s="375" t="s">
        <v>123</v>
      </c>
      <c r="C352" s="94"/>
      <c r="D352" s="251"/>
      <c r="F352" s="560" t="s">
        <v>219</v>
      </c>
      <c r="G352" s="561"/>
      <c r="H352" s="255">
        <v>0</v>
      </c>
    </row>
    <row r="353" spans="2:8" hidden="1">
      <c r="B353" s="373" t="s">
        <v>348</v>
      </c>
      <c r="D353" s="250" t="s">
        <v>143</v>
      </c>
      <c r="F353" s="560" t="s">
        <v>220</v>
      </c>
      <c r="G353" s="561"/>
      <c r="H353" s="255">
        <v>0</v>
      </c>
    </row>
    <row r="354" spans="2:8" hidden="1">
      <c r="B354" s="376" t="s">
        <v>349</v>
      </c>
      <c r="C354" s="377"/>
      <c r="D354" s="250" t="s">
        <v>143</v>
      </c>
      <c r="E354" s="377"/>
      <c r="F354" s="377"/>
      <c r="G354" s="377"/>
      <c r="H354" s="378"/>
    </row>
    <row r="355" spans="2:8" hidden="1"/>
    <row r="356" spans="2:8" ht="15.5" hidden="1">
      <c r="B356" s="601">
        <v>6.5</v>
      </c>
      <c r="C356" s="601"/>
      <c r="D356" s="601"/>
      <c r="E356" s="601"/>
      <c r="F356" s="601"/>
      <c r="G356" s="601"/>
      <c r="H356" s="601"/>
    </row>
    <row r="357" spans="2:8" hidden="1">
      <c r="B357" s="373" t="s">
        <v>377</v>
      </c>
      <c r="D357" s="87" t="s">
        <v>100</v>
      </c>
      <c r="H357" s="374"/>
    </row>
    <row r="358" spans="2:8" hidden="1">
      <c r="B358" s="373" t="s">
        <v>104</v>
      </c>
      <c r="D358" s="250">
        <v>100</v>
      </c>
      <c r="G358" t="s">
        <v>105</v>
      </c>
      <c r="H358" s="254" t="s">
        <v>11</v>
      </c>
    </row>
    <row r="359" spans="2:8" hidden="1">
      <c r="B359" s="373" t="s">
        <v>106</v>
      </c>
      <c r="D359" s="250" t="s">
        <v>143</v>
      </c>
      <c r="H359" s="374"/>
    </row>
    <row r="360" spans="2:8" hidden="1">
      <c r="B360" s="375" t="s">
        <v>129</v>
      </c>
      <c r="C360" s="94"/>
      <c r="D360" s="251" t="s">
        <v>143</v>
      </c>
      <c r="H360" s="374"/>
    </row>
    <row r="361" spans="2:8" hidden="1">
      <c r="B361" s="373" t="s">
        <v>236</v>
      </c>
      <c r="D361" s="252">
        <v>1</v>
      </c>
      <c r="H361" s="374"/>
    </row>
    <row r="362" spans="2:8" hidden="1">
      <c r="B362" s="373" t="s">
        <v>130</v>
      </c>
      <c r="D362" s="253">
        <v>4.0199999999999996</v>
      </c>
      <c r="E362" s="246">
        <v>3</v>
      </c>
      <c r="H362" s="374"/>
    </row>
    <row r="363" spans="2:8" hidden="1">
      <c r="B363" s="373" t="s">
        <v>110</v>
      </c>
      <c r="D363" s="250" t="s">
        <v>21</v>
      </c>
      <c r="H363" s="374"/>
    </row>
    <row r="364" spans="2:8" hidden="1">
      <c r="B364" s="375" t="s">
        <v>123</v>
      </c>
      <c r="C364" s="94"/>
      <c r="D364" s="251"/>
      <c r="F364" s="560" t="s">
        <v>219</v>
      </c>
      <c r="G364" s="561"/>
      <c r="H364" s="255">
        <v>0</v>
      </c>
    </row>
    <row r="365" spans="2:8" hidden="1">
      <c r="B365" s="373" t="s">
        <v>348</v>
      </c>
      <c r="D365" s="250" t="s">
        <v>143</v>
      </c>
      <c r="F365" s="560" t="s">
        <v>220</v>
      </c>
      <c r="G365" s="561"/>
      <c r="H365" s="255">
        <v>0</v>
      </c>
    </row>
    <row r="366" spans="2:8" hidden="1">
      <c r="B366" s="376" t="s">
        <v>349</v>
      </c>
      <c r="C366" s="377"/>
      <c r="D366" s="250" t="s">
        <v>143</v>
      </c>
      <c r="E366" s="377"/>
      <c r="F366" s="377"/>
      <c r="G366" s="377"/>
      <c r="H366" s="378"/>
    </row>
    <row r="367" spans="2:8" hidden="1"/>
    <row r="368" spans="2:8" ht="15.5" hidden="1">
      <c r="B368" s="601">
        <v>7.2</v>
      </c>
      <c r="C368" s="601"/>
      <c r="D368" s="601"/>
      <c r="E368" s="601"/>
      <c r="F368" s="601"/>
      <c r="G368" s="601"/>
      <c r="H368" s="601"/>
    </row>
    <row r="369" spans="2:8" hidden="1">
      <c r="B369" s="373" t="s">
        <v>377</v>
      </c>
      <c r="D369" s="87" t="s">
        <v>100</v>
      </c>
      <c r="H369" s="374"/>
    </row>
    <row r="370" spans="2:8" hidden="1">
      <c r="B370" s="373" t="s">
        <v>104</v>
      </c>
      <c r="D370" s="250">
        <v>100</v>
      </c>
      <c r="G370" t="s">
        <v>105</v>
      </c>
      <c r="H370" s="254" t="s">
        <v>11</v>
      </c>
    </row>
    <row r="371" spans="2:8" hidden="1">
      <c r="B371" s="373" t="s">
        <v>106</v>
      </c>
      <c r="D371" s="250" t="s">
        <v>127</v>
      </c>
      <c r="H371" s="374"/>
    </row>
    <row r="372" spans="2:8" hidden="1">
      <c r="B372" s="375" t="s">
        <v>129</v>
      </c>
      <c r="C372" s="94"/>
      <c r="D372" s="251" t="s">
        <v>127</v>
      </c>
      <c r="H372" s="374"/>
    </row>
    <row r="373" spans="2:8" hidden="1">
      <c r="B373" s="373" t="s">
        <v>236</v>
      </c>
      <c r="D373" s="252">
        <v>0</v>
      </c>
      <c r="H373" s="374"/>
    </row>
    <row r="374" spans="2:8" hidden="1">
      <c r="B374" s="373" t="s">
        <v>130</v>
      </c>
      <c r="D374" s="253">
        <v>2.08</v>
      </c>
      <c r="E374" s="246">
        <v>3</v>
      </c>
      <c r="H374" s="374"/>
    </row>
    <row r="375" spans="2:8" hidden="1">
      <c r="B375" s="373" t="s">
        <v>110</v>
      </c>
      <c r="D375" s="250" t="s">
        <v>21</v>
      </c>
      <c r="H375" s="374"/>
    </row>
    <row r="376" spans="2:8" hidden="1">
      <c r="B376" s="375" t="s">
        <v>123</v>
      </c>
      <c r="C376" s="94"/>
      <c r="D376" s="251"/>
      <c r="F376" s="560" t="s">
        <v>219</v>
      </c>
      <c r="G376" s="561"/>
      <c r="H376" s="255">
        <v>0</v>
      </c>
    </row>
    <row r="377" spans="2:8" hidden="1">
      <c r="B377" s="373" t="s">
        <v>348</v>
      </c>
      <c r="D377" s="250" t="s">
        <v>143</v>
      </c>
      <c r="F377" s="560" t="s">
        <v>220</v>
      </c>
      <c r="G377" s="561"/>
      <c r="H377" s="255">
        <v>0</v>
      </c>
    </row>
    <row r="378" spans="2:8" hidden="1">
      <c r="B378" s="376" t="s">
        <v>349</v>
      </c>
      <c r="C378" s="377"/>
      <c r="D378" s="250" t="s">
        <v>143</v>
      </c>
      <c r="E378" s="377"/>
      <c r="F378" s="377"/>
      <c r="G378" s="377"/>
      <c r="H378" s="378"/>
    </row>
    <row r="379" spans="2:8" hidden="1"/>
    <row r="380" spans="2:8" ht="15.5" hidden="1">
      <c r="B380" s="601">
        <v>7.3</v>
      </c>
      <c r="C380" s="601"/>
      <c r="D380" s="601"/>
      <c r="E380" s="601"/>
      <c r="F380" s="601"/>
      <c r="G380" s="601"/>
      <c r="H380" s="601"/>
    </row>
    <row r="381" spans="2:8" hidden="1">
      <c r="B381" s="373" t="s">
        <v>377</v>
      </c>
      <c r="D381" s="87" t="s">
        <v>100</v>
      </c>
      <c r="H381" s="374"/>
    </row>
    <row r="382" spans="2:8" hidden="1">
      <c r="B382" s="373" t="s">
        <v>104</v>
      </c>
      <c r="D382" s="250">
        <v>100</v>
      </c>
      <c r="G382" t="s">
        <v>105</v>
      </c>
      <c r="H382" s="254" t="s">
        <v>11</v>
      </c>
    </row>
    <row r="383" spans="2:8" hidden="1">
      <c r="B383" s="373" t="s">
        <v>106</v>
      </c>
      <c r="D383" s="250" t="s">
        <v>127</v>
      </c>
      <c r="H383" s="374"/>
    </row>
    <row r="384" spans="2:8" hidden="1">
      <c r="B384" s="375" t="s">
        <v>129</v>
      </c>
      <c r="C384" s="94"/>
      <c r="D384" s="251" t="s">
        <v>127</v>
      </c>
      <c r="H384" s="374"/>
    </row>
    <row r="385" spans="2:8" hidden="1">
      <c r="B385" s="373" t="s">
        <v>236</v>
      </c>
      <c r="D385" s="252">
        <v>0</v>
      </c>
      <c r="H385" s="374"/>
    </row>
    <row r="386" spans="2:8" hidden="1">
      <c r="B386" s="373" t="s">
        <v>130</v>
      </c>
      <c r="D386" s="253">
        <v>2.4</v>
      </c>
      <c r="E386" s="246">
        <v>3</v>
      </c>
      <c r="H386" s="374"/>
    </row>
    <row r="387" spans="2:8" hidden="1">
      <c r="B387" s="373" t="s">
        <v>110</v>
      </c>
      <c r="D387" s="250" t="s">
        <v>21</v>
      </c>
      <c r="H387" s="374"/>
    </row>
    <row r="388" spans="2:8" hidden="1">
      <c r="B388" s="375" t="s">
        <v>123</v>
      </c>
      <c r="C388" s="94"/>
      <c r="D388" s="251"/>
      <c r="F388" s="560" t="s">
        <v>219</v>
      </c>
      <c r="G388" s="561"/>
      <c r="H388" s="255">
        <v>0</v>
      </c>
    </row>
    <row r="389" spans="2:8" hidden="1">
      <c r="B389" s="373" t="s">
        <v>348</v>
      </c>
      <c r="D389" s="250" t="s">
        <v>143</v>
      </c>
      <c r="F389" s="560" t="s">
        <v>220</v>
      </c>
      <c r="G389" s="561"/>
      <c r="H389" s="255">
        <v>0</v>
      </c>
    </row>
    <row r="390" spans="2:8" hidden="1">
      <c r="B390" s="376" t="s">
        <v>349</v>
      </c>
      <c r="C390" s="377"/>
      <c r="D390" s="250" t="s">
        <v>143</v>
      </c>
      <c r="E390" s="377"/>
      <c r="F390" s="377"/>
      <c r="G390" s="377"/>
      <c r="H390" s="378"/>
    </row>
    <row r="391" spans="2:8" hidden="1"/>
    <row r="392" spans="2:8" ht="15.5" hidden="1">
      <c r="B392" s="601">
        <v>8.1</v>
      </c>
      <c r="C392" s="601"/>
      <c r="D392" s="601"/>
      <c r="E392" s="601"/>
      <c r="F392" s="601"/>
      <c r="G392" s="601"/>
      <c r="H392" s="601"/>
    </row>
    <row r="393" spans="2:8" hidden="1">
      <c r="B393" s="373" t="s">
        <v>377</v>
      </c>
      <c r="D393" s="87" t="s">
        <v>100</v>
      </c>
      <c r="H393" s="374"/>
    </row>
    <row r="394" spans="2:8" hidden="1">
      <c r="B394" s="373" t="s">
        <v>104</v>
      </c>
      <c r="D394" s="250">
        <v>100</v>
      </c>
      <c r="G394" t="s">
        <v>105</v>
      </c>
      <c r="H394" s="254" t="s">
        <v>11</v>
      </c>
    </row>
    <row r="395" spans="2:8" hidden="1">
      <c r="B395" s="373" t="s">
        <v>106</v>
      </c>
      <c r="D395" s="250" t="s">
        <v>127</v>
      </c>
      <c r="H395" s="374"/>
    </row>
    <row r="396" spans="2:8" hidden="1">
      <c r="B396" s="375" t="s">
        <v>129</v>
      </c>
      <c r="C396" s="94"/>
      <c r="D396" s="251" t="s">
        <v>143</v>
      </c>
      <c r="H396" s="374"/>
    </row>
    <row r="397" spans="2:8" hidden="1">
      <c r="B397" s="373" t="s">
        <v>236</v>
      </c>
      <c r="D397" s="252">
        <v>0</v>
      </c>
      <c r="H397" s="374"/>
    </row>
    <row r="398" spans="2:8" hidden="1">
      <c r="B398" s="373" t="s">
        <v>130</v>
      </c>
      <c r="D398" s="253">
        <v>1.1100000000000001</v>
      </c>
      <c r="E398" s="246">
        <v>3</v>
      </c>
      <c r="H398" s="374"/>
    </row>
    <row r="399" spans="2:8" hidden="1">
      <c r="B399" s="373" t="s">
        <v>110</v>
      </c>
      <c r="D399" s="250" t="s">
        <v>21</v>
      </c>
      <c r="H399" s="374"/>
    </row>
    <row r="400" spans="2:8" hidden="1">
      <c r="B400" s="375" t="s">
        <v>123</v>
      </c>
      <c r="C400" s="94"/>
      <c r="D400" s="251"/>
      <c r="F400" s="560" t="s">
        <v>219</v>
      </c>
      <c r="G400" s="561"/>
      <c r="H400" s="255">
        <v>0</v>
      </c>
    </row>
    <row r="401" spans="2:8" hidden="1">
      <c r="B401" s="373" t="s">
        <v>348</v>
      </c>
      <c r="D401" s="250" t="s">
        <v>143</v>
      </c>
      <c r="F401" s="560" t="s">
        <v>220</v>
      </c>
      <c r="G401" s="561"/>
      <c r="H401" s="255">
        <v>0</v>
      </c>
    </row>
    <row r="402" spans="2:8" hidden="1">
      <c r="B402" s="376" t="s">
        <v>349</v>
      </c>
      <c r="C402" s="377"/>
      <c r="D402" s="250" t="s">
        <v>143</v>
      </c>
      <c r="E402" s="377"/>
      <c r="F402" s="377"/>
      <c r="G402" s="377"/>
      <c r="H402" s="378"/>
    </row>
    <row r="403" spans="2:8" hidden="1"/>
    <row r="404" spans="2:8" ht="15.5" hidden="1">
      <c r="B404" s="601">
        <v>8.1999999999999993</v>
      </c>
      <c r="C404" s="601"/>
      <c r="D404" s="601"/>
      <c r="E404" s="601"/>
      <c r="F404" s="601"/>
      <c r="G404" s="601"/>
      <c r="H404" s="601"/>
    </row>
    <row r="405" spans="2:8" hidden="1">
      <c r="B405" s="373" t="s">
        <v>377</v>
      </c>
      <c r="D405" s="87" t="s">
        <v>100</v>
      </c>
      <c r="H405" s="374"/>
    </row>
    <row r="406" spans="2:8" hidden="1">
      <c r="B406" s="373" t="s">
        <v>104</v>
      </c>
      <c r="D406" s="250">
        <v>100</v>
      </c>
      <c r="G406" t="s">
        <v>105</v>
      </c>
      <c r="H406" s="254" t="s">
        <v>11</v>
      </c>
    </row>
    <row r="407" spans="2:8" hidden="1">
      <c r="B407" s="373" t="s">
        <v>106</v>
      </c>
      <c r="D407" s="250" t="s">
        <v>127</v>
      </c>
      <c r="H407" s="374"/>
    </row>
    <row r="408" spans="2:8" hidden="1">
      <c r="B408" s="375" t="s">
        <v>129</v>
      </c>
      <c r="C408" s="94"/>
      <c r="D408" s="251" t="s">
        <v>143</v>
      </c>
      <c r="H408" s="374"/>
    </row>
    <row r="409" spans="2:8" hidden="1">
      <c r="B409" s="373" t="s">
        <v>236</v>
      </c>
      <c r="D409" s="252">
        <v>0</v>
      </c>
      <c r="H409" s="374"/>
    </row>
    <row r="410" spans="2:8" hidden="1">
      <c r="B410" s="373" t="s">
        <v>130</v>
      </c>
      <c r="D410" s="253">
        <v>2.08</v>
      </c>
      <c r="E410" s="246">
        <v>3</v>
      </c>
      <c r="H410" s="374"/>
    </row>
    <row r="411" spans="2:8" hidden="1">
      <c r="B411" s="373" t="s">
        <v>110</v>
      </c>
      <c r="D411" s="250" t="s">
        <v>21</v>
      </c>
      <c r="H411" s="374"/>
    </row>
    <row r="412" spans="2:8" hidden="1">
      <c r="B412" s="375" t="s">
        <v>123</v>
      </c>
      <c r="C412" s="94"/>
      <c r="D412" s="251"/>
      <c r="F412" s="560" t="s">
        <v>219</v>
      </c>
      <c r="G412" s="561"/>
      <c r="H412" s="255">
        <v>0</v>
      </c>
    </row>
    <row r="413" spans="2:8" hidden="1">
      <c r="B413" s="373" t="s">
        <v>348</v>
      </c>
      <c r="D413" s="250" t="s">
        <v>143</v>
      </c>
      <c r="F413" s="560" t="s">
        <v>220</v>
      </c>
      <c r="G413" s="561"/>
      <c r="H413" s="255">
        <v>0</v>
      </c>
    </row>
    <row r="414" spans="2:8" hidden="1">
      <c r="B414" s="376" t="s">
        <v>349</v>
      </c>
      <c r="C414" s="377"/>
      <c r="D414" s="250" t="s">
        <v>143</v>
      </c>
      <c r="E414" s="377"/>
      <c r="F414" s="377"/>
      <c r="G414" s="377"/>
      <c r="H414" s="378"/>
    </row>
    <row r="415" spans="2:8" hidden="1"/>
    <row r="416" spans="2:8" ht="15.5" hidden="1">
      <c r="B416" s="601">
        <v>8.3000000000000007</v>
      </c>
      <c r="C416" s="601"/>
      <c r="D416" s="601"/>
      <c r="E416" s="601"/>
      <c r="F416" s="601"/>
      <c r="G416" s="601"/>
      <c r="H416" s="601"/>
    </row>
    <row r="417" spans="2:8" hidden="1">
      <c r="B417" s="373" t="s">
        <v>377</v>
      </c>
      <c r="D417" s="87" t="s">
        <v>100</v>
      </c>
      <c r="H417" s="374"/>
    </row>
    <row r="418" spans="2:8" hidden="1">
      <c r="B418" s="373" t="s">
        <v>104</v>
      </c>
      <c r="D418" s="250">
        <v>100</v>
      </c>
      <c r="G418" t="s">
        <v>105</v>
      </c>
      <c r="H418" s="254" t="s">
        <v>11</v>
      </c>
    </row>
    <row r="419" spans="2:8" hidden="1">
      <c r="B419" s="373" t="s">
        <v>106</v>
      </c>
      <c r="D419" s="250" t="s">
        <v>127</v>
      </c>
      <c r="H419" s="374"/>
    </row>
    <row r="420" spans="2:8" hidden="1">
      <c r="B420" s="375" t="s">
        <v>129</v>
      </c>
      <c r="C420" s="94"/>
      <c r="D420" s="251" t="s">
        <v>143</v>
      </c>
      <c r="H420" s="374"/>
    </row>
    <row r="421" spans="2:8" hidden="1">
      <c r="B421" s="373" t="s">
        <v>236</v>
      </c>
      <c r="D421" s="252">
        <v>0</v>
      </c>
      <c r="H421" s="374"/>
    </row>
    <row r="422" spans="2:8" hidden="1">
      <c r="B422" s="373" t="s">
        <v>130</v>
      </c>
      <c r="D422" s="253">
        <v>2.4</v>
      </c>
      <c r="E422" s="246">
        <v>3</v>
      </c>
      <c r="H422" s="374"/>
    </row>
    <row r="423" spans="2:8" hidden="1">
      <c r="B423" s="373" t="s">
        <v>110</v>
      </c>
      <c r="D423" s="250" t="s">
        <v>21</v>
      </c>
      <c r="H423" s="374"/>
    </row>
    <row r="424" spans="2:8" hidden="1">
      <c r="B424" s="375" t="s">
        <v>123</v>
      </c>
      <c r="C424" s="94"/>
      <c r="D424" s="251"/>
      <c r="F424" s="560" t="s">
        <v>219</v>
      </c>
      <c r="G424" s="561"/>
      <c r="H424" s="255">
        <v>0</v>
      </c>
    </row>
    <row r="425" spans="2:8" hidden="1">
      <c r="B425" s="373" t="s">
        <v>348</v>
      </c>
      <c r="D425" s="250" t="s">
        <v>143</v>
      </c>
      <c r="F425" s="560" t="s">
        <v>220</v>
      </c>
      <c r="G425" s="561"/>
      <c r="H425" s="255">
        <v>0</v>
      </c>
    </row>
    <row r="426" spans="2:8" hidden="1">
      <c r="B426" s="376" t="s">
        <v>349</v>
      </c>
      <c r="C426" s="377"/>
      <c r="D426" s="250" t="s">
        <v>143</v>
      </c>
      <c r="E426" s="377"/>
      <c r="F426" s="377"/>
      <c r="G426" s="377"/>
      <c r="H426" s="378"/>
    </row>
    <row r="427" spans="2:8" hidden="1"/>
    <row r="428" spans="2:8" ht="15.5" hidden="1">
      <c r="B428" s="601">
        <v>9.1999999999999993</v>
      </c>
      <c r="C428" s="601"/>
      <c r="D428" s="601"/>
      <c r="E428" s="601"/>
      <c r="F428" s="601"/>
      <c r="G428" s="601"/>
      <c r="H428" s="601"/>
    </row>
    <row r="429" spans="2:8" hidden="1">
      <c r="B429" s="373" t="s">
        <v>377</v>
      </c>
      <c r="D429" s="87" t="s">
        <v>100</v>
      </c>
      <c r="H429" s="374"/>
    </row>
    <row r="430" spans="2:8" hidden="1">
      <c r="B430" s="373" t="s">
        <v>104</v>
      </c>
      <c r="D430" s="250">
        <v>100</v>
      </c>
      <c r="G430" t="s">
        <v>105</v>
      </c>
      <c r="H430" s="254" t="s">
        <v>11</v>
      </c>
    </row>
    <row r="431" spans="2:8" hidden="1">
      <c r="B431" s="373" t="s">
        <v>106</v>
      </c>
      <c r="D431" s="250" t="s">
        <v>127</v>
      </c>
      <c r="H431" s="374"/>
    </row>
    <row r="432" spans="2:8" hidden="1">
      <c r="B432" s="375" t="s">
        <v>129</v>
      </c>
      <c r="C432" s="94"/>
      <c r="D432" s="251" t="s">
        <v>127</v>
      </c>
      <c r="H432" s="374"/>
    </row>
    <row r="433" spans="2:8" hidden="1">
      <c r="B433" s="373" t="s">
        <v>236</v>
      </c>
      <c r="D433" s="252">
        <v>0.5</v>
      </c>
      <c r="H433" s="374"/>
    </row>
    <row r="434" spans="2:8" hidden="1">
      <c r="B434" s="373" t="s">
        <v>130</v>
      </c>
      <c r="D434" s="253">
        <v>2.08</v>
      </c>
      <c r="E434" s="246">
        <v>3</v>
      </c>
      <c r="H434" s="374"/>
    </row>
    <row r="435" spans="2:8" hidden="1">
      <c r="B435" s="373" t="s">
        <v>110</v>
      </c>
      <c r="D435" s="250" t="s">
        <v>21</v>
      </c>
      <c r="H435" s="374"/>
    </row>
    <row r="436" spans="2:8" hidden="1">
      <c r="B436" s="375" t="s">
        <v>123</v>
      </c>
      <c r="C436" s="94"/>
      <c r="D436" s="251"/>
      <c r="F436" s="560" t="s">
        <v>219</v>
      </c>
      <c r="G436" s="561"/>
      <c r="H436" s="255">
        <v>0</v>
      </c>
    </row>
    <row r="437" spans="2:8" hidden="1">
      <c r="B437" s="373" t="s">
        <v>348</v>
      </c>
      <c r="D437" s="250" t="s">
        <v>143</v>
      </c>
      <c r="F437" s="560" t="s">
        <v>220</v>
      </c>
      <c r="G437" s="561"/>
      <c r="H437" s="255">
        <v>0</v>
      </c>
    </row>
    <row r="438" spans="2:8" hidden="1">
      <c r="B438" s="376" t="s">
        <v>349</v>
      </c>
      <c r="C438" s="377"/>
      <c r="D438" s="250" t="s">
        <v>143</v>
      </c>
      <c r="E438" s="377"/>
      <c r="F438" s="377"/>
      <c r="G438" s="377"/>
      <c r="H438" s="378"/>
    </row>
    <row r="439" spans="2:8" hidden="1"/>
    <row r="440" spans="2:8" ht="15.5" hidden="1">
      <c r="B440" s="601">
        <v>9.3000000000000007</v>
      </c>
      <c r="C440" s="601"/>
      <c r="D440" s="601"/>
      <c r="E440" s="601"/>
      <c r="F440" s="601"/>
      <c r="G440" s="601"/>
      <c r="H440" s="601"/>
    </row>
    <row r="441" spans="2:8" hidden="1">
      <c r="B441" s="373" t="s">
        <v>377</v>
      </c>
      <c r="D441" s="87" t="s">
        <v>100</v>
      </c>
      <c r="H441" s="374"/>
    </row>
    <row r="442" spans="2:8" hidden="1">
      <c r="B442" s="373" t="s">
        <v>104</v>
      </c>
      <c r="D442" s="250">
        <v>100</v>
      </c>
      <c r="G442" t="s">
        <v>105</v>
      </c>
      <c r="H442" s="254" t="s">
        <v>11</v>
      </c>
    </row>
    <row r="443" spans="2:8" hidden="1">
      <c r="B443" s="373" t="s">
        <v>106</v>
      </c>
      <c r="D443" s="250" t="s">
        <v>127</v>
      </c>
      <c r="H443" s="374"/>
    </row>
    <row r="444" spans="2:8" hidden="1">
      <c r="B444" s="375" t="s">
        <v>129</v>
      </c>
      <c r="C444" s="94"/>
      <c r="D444" s="251" t="s">
        <v>127</v>
      </c>
      <c r="H444" s="374"/>
    </row>
    <row r="445" spans="2:8" hidden="1">
      <c r="B445" s="373" t="s">
        <v>236</v>
      </c>
      <c r="D445" s="252">
        <v>0.5</v>
      </c>
      <c r="H445" s="374"/>
    </row>
    <row r="446" spans="2:8" hidden="1">
      <c r="B446" s="373" t="s">
        <v>130</v>
      </c>
      <c r="D446" s="253">
        <v>2.4</v>
      </c>
      <c r="E446" s="246">
        <v>3</v>
      </c>
      <c r="H446" s="374"/>
    </row>
    <row r="447" spans="2:8" hidden="1">
      <c r="B447" s="373" t="s">
        <v>110</v>
      </c>
      <c r="D447" s="250" t="s">
        <v>21</v>
      </c>
      <c r="H447" s="374"/>
    </row>
    <row r="448" spans="2:8" hidden="1">
      <c r="B448" s="375" t="s">
        <v>123</v>
      </c>
      <c r="C448" s="94"/>
      <c r="D448" s="251"/>
      <c r="F448" s="560" t="s">
        <v>219</v>
      </c>
      <c r="G448" s="561"/>
      <c r="H448" s="255">
        <v>0</v>
      </c>
    </row>
    <row r="449" spans="2:8" hidden="1">
      <c r="B449" s="373" t="s">
        <v>348</v>
      </c>
      <c r="D449" s="250" t="s">
        <v>143</v>
      </c>
      <c r="F449" s="560" t="s">
        <v>220</v>
      </c>
      <c r="G449" s="561"/>
      <c r="H449" s="255">
        <v>0</v>
      </c>
    </row>
    <row r="450" spans="2:8" hidden="1">
      <c r="B450" s="376" t="s">
        <v>349</v>
      </c>
      <c r="C450" s="377"/>
      <c r="D450" s="250" t="s">
        <v>143</v>
      </c>
      <c r="E450" s="377"/>
      <c r="F450" s="377"/>
      <c r="G450" s="377"/>
      <c r="H450" s="378"/>
    </row>
    <row r="451" spans="2:8" hidden="1"/>
    <row r="452" spans="2:8" ht="15.5" hidden="1">
      <c r="B452" s="601">
        <v>10.1</v>
      </c>
      <c r="C452" s="601"/>
      <c r="D452" s="601"/>
      <c r="E452" s="601"/>
      <c r="F452" s="601"/>
      <c r="G452" s="601"/>
      <c r="H452" s="601"/>
    </row>
    <row r="453" spans="2:8" hidden="1">
      <c r="B453" s="373" t="s">
        <v>377</v>
      </c>
      <c r="D453" s="87" t="s">
        <v>100</v>
      </c>
      <c r="H453" s="374"/>
    </row>
    <row r="454" spans="2:8" hidden="1">
      <c r="B454" s="373" t="s">
        <v>104</v>
      </c>
      <c r="D454" s="250">
        <v>100</v>
      </c>
      <c r="G454" t="s">
        <v>105</v>
      </c>
      <c r="H454" s="254" t="s">
        <v>11</v>
      </c>
    </row>
    <row r="455" spans="2:8" hidden="1">
      <c r="B455" s="373" t="s">
        <v>106</v>
      </c>
      <c r="D455" s="250" t="s">
        <v>127</v>
      </c>
      <c r="H455" s="374"/>
    </row>
    <row r="456" spans="2:8" hidden="1">
      <c r="B456" s="375" t="s">
        <v>129</v>
      </c>
      <c r="C456" s="94"/>
      <c r="D456" s="251" t="s">
        <v>143</v>
      </c>
      <c r="H456" s="374"/>
    </row>
    <row r="457" spans="2:8" hidden="1">
      <c r="B457" s="373" t="s">
        <v>236</v>
      </c>
      <c r="D457" s="252">
        <v>0.5</v>
      </c>
      <c r="H457" s="374"/>
    </row>
    <row r="458" spans="2:8" hidden="1">
      <c r="B458" s="373" t="s">
        <v>130</v>
      </c>
      <c r="D458" s="253">
        <v>1.1100000000000001</v>
      </c>
      <c r="E458" s="246">
        <v>3</v>
      </c>
      <c r="H458" s="374"/>
    </row>
    <row r="459" spans="2:8" hidden="1">
      <c r="B459" s="373" t="s">
        <v>110</v>
      </c>
      <c r="D459" s="250" t="s">
        <v>21</v>
      </c>
      <c r="H459" s="374"/>
    </row>
    <row r="460" spans="2:8" hidden="1">
      <c r="B460" s="375" t="s">
        <v>123</v>
      </c>
      <c r="C460" s="94"/>
      <c r="D460" s="251"/>
      <c r="F460" s="560" t="s">
        <v>219</v>
      </c>
      <c r="G460" s="561"/>
      <c r="H460" s="255">
        <v>0</v>
      </c>
    </row>
    <row r="461" spans="2:8" hidden="1">
      <c r="B461" s="373" t="s">
        <v>348</v>
      </c>
      <c r="D461" s="250" t="s">
        <v>143</v>
      </c>
      <c r="F461" s="560" t="s">
        <v>220</v>
      </c>
      <c r="G461" s="561"/>
      <c r="H461" s="255">
        <v>0</v>
      </c>
    </row>
    <row r="462" spans="2:8" hidden="1">
      <c r="B462" s="376" t="s">
        <v>349</v>
      </c>
      <c r="C462" s="377"/>
      <c r="D462" s="250" t="s">
        <v>143</v>
      </c>
      <c r="E462" s="377"/>
      <c r="F462" s="377"/>
      <c r="G462" s="377"/>
      <c r="H462" s="378"/>
    </row>
    <row r="463" spans="2:8" hidden="1"/>
    <row r="464" spans="2:8" ht="15.5" hidden="1">
      <c r="B464" s="601">
        <v>10.199999999999999</v>
      </c>
      <c r="C464" s="601"/>
      <c r="D464" s="601"/>
      <c r="E464" s="601"/>
      <c r="F464" s="601"/>
      <c r="G464" s="601"/>
      <c r="H464" s="601"/>
    </row>
    <row r="465" spans="2:8" hidden="1">
      <c r="B465" s="373" t="s">
        <v>377</v>
      </c>
      <c r="D465" s="87" t="s">
        <v>100</v>
      </c>
      <c r="H465" s="374"/>
    </row>
    <row r="466" spans="2:8" hidden="1">
      <c r="B466" s="373" t="s">
        <v>104</v>
      </c>
      <c r="D466" s="250">
        <v>100</v>
      </c>
      <c r="G466" t="s">
        <v>105</v>
      </c>
      <c r="H466" s="254" t="s">
        <v>11</v>
      </c>
    </row>
    <row r="467" spans="2:8" hidden="1">
      <c r="B467" s="373" t="s">
        <v>106</v>
      </c>
      <c r="D467" s="250" t="s">
        <v>127</v>
      </c>
      <c r="H467" s="374"/>
    </row>
    <row r="468" spans="2:8" hidden="1">
      <c r="B468" s="375" t="s">
        <v>129</v>
      </c>
      <c r="C468" s="94"/>
      <c r="D468" s="251" t="s">
        <v>143</v>
      </c>
      <c r="H468" s="374"/>
    </row>
    <row r="469" spans="2:8" hidden="1">
      <c r="B469" s="373" t="s">
        <v>236</v>
      </c>
      <c r="D469" s="252">
        <v>0.5</v>
      </c>
      <c r="H469" s="374"/>
    </row>
    <row r="470" spans="2:8" hidden="1">
      <c r="B470" s="373" t="s">
        <v>130</v>
      </c>
      <c r="D470" s="253">
        <v>2.08</v>
      </c>
      <c r="E470" s="246">
        <v>3</v>
      </c>
      <c r="H470" s="374"/>
    </row>
    <row r="471" spans="2:8" hidden="1">
      <c r="B471" s="373" t="s">
        <v>110</v>
      </c>
      <c r="D471" s="250" t="s">
        <v>21</v>
      </c>
      <c r="H471" s="374"/>
    </row>
    <row r="472" spans="2:8" hidden="1">
      <c r="B472" s="375" t="s">
        <v>123</v>
      </c>
      <c r="C472" s="94"/>
      <c r="D472" s="251"/>
      <c r="F472" s="560" t="s">
        <v>219</v>
      </c>
      <c r="G472" s="561"/>
      <c r="H472" s="255">
        <v>0</v>
      </c>
    </row>
    <row r="473" spans="2:8" hidden="1">
      <c r="B473" s="373" t="s">
        <v>348</v>
      </c>
      <c r="D473" s="250" t="s">
        <v>143</v>
      </c>
      <c r="F473" s="560" t="s">
        <v>220</v>
      </c>
      <c r="G473" s="561"/>
      <c r="H473" s="255">
        <v>0</v>
      </c>
    </row>
    <row r="474" spans="2:8" hidden="1">
      <c r="B474" s="376" t="s">
        <v>349</v>
      </c>
      <c r="C474" s="377"/>
      <c r="D474" s="250" t="s">
        <v>143</v>
      </c>
      <c r="E474" s="377"/>
      <c r="F474" s="377"/>
      <c r="G474" s="377"/>
      <c r="H474" s="378"/>
    </row>
    <row r="475" spans="2:8" hidden="1"/>
    <row r="476" spans="2:8" ht="15.5" hidden="1">
      <c r="B476" s="601">
        <v>10.3</v>
      </c>
      <c r="C476" s="601"/>
      <c r="D476" s="601"/>
      <c r="E476" s="601"/>
      <c r="F476" s="601"/>
      <c r="G476" s="601"/>
      <c r="H476" s="601"/>
    </row>
    <row r="477" spans="2:8" hidden="1">
      <c r="B477" s="373" t="s">
        <v>377</v>
      </c>
      <c r="D477" s="87" t="s">
        <v>100</v>
      </c>
      <c r="H477" s="374"/>
    </row>
    <row r="478" spans="2:8" hidden="1">
      <c r="B478" s="373" t="s">
        <v>104</v>
      </c>
      <c r="D478" s="250">
        <v>100</v>
      </c>
      <c r="G478" t="s">
        <v>105</v>
      </c>
      <c r="H478" s="254" t="s">
        <v>11</v>
      </c>
    </row>
    <row r="479" spans="2:8" hidden="1">
      <c r="B479" s="373" t="s">
        <v>106</v>
      </c>
      <c r="D479" s="250" t="s">
        <v>127</v>
      </c>
      <c r="H479" s="374"/>
    </row>
    <row r="480" spans="2:8" hidden="1">
      <c r="B480" s="375" t="s">
        <v>129</v>
      </c>
      <c r="C480" s="94"/>
      <c r="D480" s="251" t="s">
        <v>143</v>
      </c>
      <c r="H480" s="374"/>
    </row>
    <row r="481" spans="2:8" hidden="1">
      <c r="B481" s="373" t="s">
        <v>236</v>
      </c>
      <c r="D481" s="252">
        <v>0.5</v>
      </c>
      <c r="H481" s="374"/>
    </row>
    <row r="482" spans="2:8" hidden="1">
      <c r="B482" s="373" t="s">
        <v>130</v>
      </c>
      <c r="D482" s="253">
        <v>2.4</v>
      </c>
      <c r="E482" s="246">
        <v>3</v>
      </c>
      <c r="H482" s="374"/>
    </row>
    <row r="483" spans="2:8" hidden="1">
      <c r="B483" s="373" t="s">
        <v>110</v>
      </c>
      <c r="D483" s="250" t="s">
        <v>21</v>
      </c>
      <c r="H483" s="374"/>
    </row>
    <row r="484" spans="2:8" hidden="1">
      <c r="B484" s="375" t="s">
        <v>123</v>
      </c>
      <c r="C484" s="94"/>
      <c r="D484" s="251"/>
      <c r="F484" s="560" t="s">
        <v>219</v>
      </c>
      <c r="G484" s="561"/>
      <c r="H484" s="255">
        <v>0</v>
      </c>
    </row>
    <row r="485" spans="2:8" hidden="1">
      <c r="B485" s="373" t="s">
        <v>348</v>
      </c>
      <c r="D485" s="250" t="s">
        <v>143</v>
      </c>
      <c r="F485" s="560" t="s">
        <v>220</v>
      </c>
      <c r="G485" s="561"/>
      <c r="H485" s="255">
        <v>0</v>
      </c>
    </row>
    <row r="486" spans="2:8" hidden="1">
      <c r="B486" s="376" t="s">
        <v>349</v>
      </c>
      <c r="C486" s="377"/>
      <c r="D486" s="250" t="s">
        <v>143</v>
      </c>
      <c r="E486" s="377"/>
      <c r="F486" s="377"/>
      <c r="G486" s="377"/>
      <c r="H486" s="378"/>
    </row>
    <row r="487" spans="2:8" hidden="1"/>
    <row r="488" spans="2:8" ht="15.5" hidden="1">
      <c r="B488" s="601">
        <v>11.2</v>
      </c>
      <c r="C488" s="601"/>
      <c r="D488" s="601"/>
      <c r="E488" s="601"/>
      <c r="F488" s="601"/>
      <c r="G488" s="601"/>
      <c r="H488" s="601"/>
    </row>
    <row r="489" spans="2:8" hidden="1">
      <c r="B489" s="373" t="s">
        <v>377</v>
      </c>
      <c r="D489" s="87" t="s">
        <v>100</v>
      </c>
      <c r="H489" s="374"/>
    </row>
    <row r="490" spans="2:8" hidden="1">
      <c r="B490" s="373" t="s">
        <v>104</v>
      </c>
      <c r="D490" s="250">
        <v>100</v>
      </c>
      <c r="G490" t="s">
        <v>105</v>
      </c>
      <c r="H490" s="254" t="s">
        <v>11</v>
      </c>
    </row>
    <row r="491" spans="2:8" hidden="1">
      <c r="B491" s="373" t="s">
        <v>106</v>
      </c>
      <c r="D491" s="250" t="s">
        <v>127</v>
      </c>
      <c r="H491" s="374"/>
    </row>
    <row r="492" spans="2:8" hidden="1">
      <c r="B492" s="375" t="s">
        <v>129</v>
      </c>
      <c r="C492" s="94"/>
      <c r="D492" s="251" t="s">
        <v>127</v>
      </c>
      <c r="H492" s="374"/>
    </row>
    <row r="493" spans="2:8" hidden="1">
      <c r="B493" s="373" t="s">
        <v>236</v>
      </c>
      <c r="D493" s="252">
        <v>1</v>
      </c>
      <c r="H493" s="374"/>
    </row>
    <row r="494" spans="2:8" hidden="1">
      <c r="B494" s="373" t="s">
        <v>130</v>
      </c>
      <c r="D494" s="253">
        <v>2.08</v>
      </c>
      <c r="E494" s="246">
        <v>3</v>
      </c>
      <c r="H494" s="374"/>
    </row>
    <row r="495" spans="2:8" hidden="1">
      <c r="B495" s="373" t="s">
        <v>110</v>
      </c>
      <c r="D495" s="250" t="s">
        <v>21</v>
      </c>
      <c r="H495" s="374"/>
    </row>
    <row r="496" spans="2:8" hidden="1">
      <c r="B496" s="375" t="s">
        <v>123</v>
      </c>
      <c r="C496" s="94"/>
      <c r="D496" s="251"/>
      <c r="F496" s="560" t="s">
        <v>219</v>
      </c>
      <c r="G496" s="561"/>
      <c r="H496" s="255">
        <v>0</v>
      </c>
    </row>
    <row r="497" spans="2:8" hidden="1">
      <c r="B497" s="373" t="s">
        <v>348</v>
      </c>
      <c r="D497" s="250" t="s">
        <v>143</v>
      </c>
      <c r="F497" s="560" t="s">
        <v>220</v>
      </c>
      <c r="G497" s="561"/>
      <c r="H497" s="255">
        <v>0</v>
      </c>
    </row>
    <row r="498" spans="2:8" hidden="1">
      <c r="B498" s="376" t="s">
        <v>349</v>
      </c>
      <c r="C498" s="377"/>
      <c r="D498" s="250" t="s">
        <v>143</v>
      </c>
      <c r="E498" s="377"/>
      <c r="F498" s="377"/>
      <c r="G498" s="377"/>
      <c r="H498" s="378"/>
    </row>
    <row r="499" spans="2:8" hidden="1"/>
    <row r="500" spans="2:8" ht="15.5" hidden="1">
      <c r="B500" s="601">
        <v>11.3</v>
      </c>
      <c r="C500" s="601"/>
      <c r="D500" s="601"/>
      <c r="E500" s="601"/>
      <c r="F500" s="601"/>
      <c r="G500" s="601"/>
      <c r="H500" s="601"/>
    </row>
    <row r="501" spans="2:8" hidden="1">
      <c r="B501" s="373" t="s">
        <v>377</v>
      </c>
      <c r="D501" s="87" t="s">
        <v>100</v>
      </c>
      <c r="H501" s="374"/>
    </row>
    <row r="502" spans="2:8" hidden="1">
      <c r="B502" s="373" t="s">
        <v>104</v>
      </c>
      <c r="D502" s="250">
        <v>100</v>
      </c>
      <c r="G502" t="s">
        <v>105</v>
      </c>
      <c r="H502" s="254" t="s">
        <v>11</v>
      </c>
    </row>
    <row r="503" spans="2:8" hidden="1">
      <c r="B503" s="373" t="s">
        <v>106</v>
      </c>
      <c r="D503" s="250" t="s">
        <v>127</v>
      </c>
      <c r="H503" s="374"/>
    </row>
    <row r="504" spans="2:8" hidden="1">
      <c r="B504" s="375" t="s">
        <v>129</v>
      </c>
      <c r="C504" s="94"/>
      <c r="D504" s="251" t="s">
        <v>127</v>
      </c>
      <c r="H504" s="374"/>
    </row>
    <row r="505" spans="2:8" hidden="1">
      <c r="B505" s="373" t="s">
        <v>236</v>
      </c>
      <c r="D505" s="252">
        <v>1</v>
      </c>
      <c r="H505" s="374"/>
    </row>
    <row r="506" spans="2:8" hidden="1">
      <c r="B506" s="373" t="s">
        <v>130</v>
      </c>
      <c r="D506" s="253">
        <v>2.4</v>
      </c>
      <c r="E506" s="246">
        <v>3</v>
      </c>
      <c r="H506" s="374"/>
    </row>
    <row r="507" spans="2:8" hidden="1">
      <c r="B507" s="373" t="s">
        <v>110</v>
      </c>
      <c r="D507" s="250" t="s">
        <v>21</v>
      </c>
      <c r="H507" s="374"/>
    </row>
    <row r="508" spans="2:8" hidden="1">
      <c r="B508" s="375" t="s">
        <v>123</v>
      </c>
      <c r="C508" s="94"/>
      <c r="D508" s="251"/>
      <c r="F508" s="560" t="s">
        <v>219</v>
      </c>
      <c r="G508" s="561"/>
      <c r="H508" s="255">
        <v>0</v>
      </c>
    </row>
    <row r="509" spans="2:8" hidden="1">
      <c r="B509" s="373" t="s">
        <v>348</v>
      </c>
      <c r="D509" s="250" t="s">
        <v>143</v>
      </c>
      <c r="F509" s="560" t="s">
        <v>220</v>
      </c>
      <c r="G509" s="561"/>
      <c r="H509" s="255">
        <v>0</v>
      </c>
    </row>
    <row r="510" spans="2:8" hidden="1">
      <c r="B510" s="376" t="s">
        <v>349</v>
      </c>
      <c r="C510" s="377"/>
      <c r="D510" s="250" t="s">
        <v>143</v>
      </c>
      <c r="E510" s="377"/>
      <c r="F510" s="377"/>
      <c r="G510" s="377"/>
      <c r="H510" s="378"/>
    </row>
    <row r="511" spans="2:8" hidden="1"/>
    <row r="512" spans="2:8" ht="15.5" hidden="1">
      <c r="B512" s="601">
        <v>12.1</v>
      </c>
      <c r="C512" s="601"/>
      <c r="D512" s="601"/>
      <c r="E512" s="601"/>
      <c r="F512" s="601"/>
      <c r="G512" s="601"/>
      <c r="H512" s="601"/>
    </row>
    <row r="513" spans="2:8" hidden="1">
      <c r="B513" s="373" t="s">
        <v>377</v>
      </c>
      <c r="D513" s="87" t="s">
        <v>100</v>
      </c>
      <c r="H513" s="374"/>
    </row>
    <row r="514" spans="2:8" hidden="1">
      <c r="B514" s="373" t="s">
        <v>104</v>
      </c>
      <c r="D514" s="250">
        <v>100</v>
      </c>
      <c r="G514" t="s">
        <v>105</v>
      </c>
      <c r="H514" s="254" t="s">
        <v>11</v>
      </c>
    </row>
    <row r="515" spans="2:8" hidden="1">
      <c r="B515" s="373" t="s">
        <v>106</v>
      </c>
      <c r="D515" s="250" t="s">
        <v>127</v>
      </c>
      <c r="H515" s="374"/>
    </row>
    <row r="516" spans="2:8" hidden="1">
      <c r="B516" s="375" t="s">
        <v>129</v>
      </c>
      <c r="C516" s="94"/>
      <c r="D516" s="251" t="s">
        <v>143</v>
      </c>
      <c r="H516" s="374"/>
    </row>
    <row r="517" spans="2:8" hidden="1">
      <c r="B517" s="373" t="s">
        <v>236</v>
      </c>
      <c r="D517" s="252">
        <v>1</v>
      </c>
      <c r="H517" s="374"/>
    </row>
    <row r="518" spans="2:8" hidden="1">
      <c r="B518" s="373" t="s">
        <v>130</v>
      </c>
      <c r="D518" s="253">
        <v>1.1100000000000001</v>
      </c>
      <c r="E518" s="246">
        <v>3</v>
      </c>
      <c r="H518" s="374"/>
    </row>
    <row r="519" spans="2:8" hidden="1">
      <c r="B519" s="373" t="s">
        <v>110</v>
      </c>
      <c r="D519" s="250" t="s">
        <v>21</v>
      </c>
      <c r="H519" s="374"/>
    </row>
    <row r="520" spans="2:8" hidden="1">
      <c r="B520" s="375" t="s">
        <v>123</v>
      </c>
      <c r="C520" s="94"/>
      <c r="D520" s="251"/>
      <c r="F520" s="560" t="s">
        <v>219</v>
      </c>
      <c r="G520" s="561"/>
      <c r="H520" s="255">
        <v>0</v>
      </c>
    </row>
    <row r="521" spans="2:8" hidden="1">
      <c r="B521" s="373" t="s">
        <v>348</v>
      </c>
      <c r="D521" s="250" t="s">
        <v>143</v>
      </c>
      <c r="F521" s="560" t="s">
        <v>220</v>
      </c>
      <c r="G521" s="561"/>
      <c r="H521" s="255">
        <v>0</v>
      </c>
    </row>
    <row r="522" spans="2:8" hidden="1">
      <c r="B522" s="376" t="s">
        <v>349</v>
      </c>
      <c r="C522" s="377"/>
      <c r="D522" s="250" t="s">
        <v>143</v>
      </c>
      <c r="E522" s="377"/>
      <c r="F522" s="377"/>
      <c r="G522" s="377"/>
      <c r="H522" s="378"/>
    </row>
    <row r="523" spans="2:8" hidden="1"/>
    <row r="524" spans="2:8" ht="15.5" hidden="1">
      <c r="B524" s="601">
        <v>12.2</v>
      </c>
      <c r="C524" s="601"/>
      <c r="D524" s="601"/>
      <c r="E524" s="601"/>
      <c r="F524" s="601"/>
      <c r="G524" s="601"/>
      <c r="H524" s="601"/>
    </row>
    <row r="525" spans="2:8" hidden="1">
      <c r="B525" s="373" t="s">
        <v>377</v>
      </c>
      <c r="D525" s="87" t="s">
        <v>100</v>
      </c>
      <c r="H525" s="374"/>
    </row>
    <row r="526" spans="2:8" hidden="1">
      <c r="B526" s="373" t="s">
        <v>104</v>
      </c>
      <c r="D526" s="250">
        <v>100</v>
      </c>
      <c r="G526" t="s">
        <v>105</v>
      </c>
      <c r="H526" s="254" t="s">
        <v>11</v>
      </c>
    </row>
    <row r="527" spans="2:8" hidden="1">
      <c r="B527" s="373" t="s">
        <v>106</v>
      </c>
      <c r="D527" s="250" t="s">
        <v>127</v>
      </c>
      <c r="H527" s="374"/>
    </row>
    <row r="528" spans="2:8" hidden="1">
      <c r="B528" s="375" t="s">
        <v>129</v>
      </c>
      <c r="C528" s="94"/>
      <c r="D528" s="251" t="s">
        <v>143</v>
      </c>
      <c r="H528" s="374"/>
    </row>
    <row r="529" spans="2:8" hidden="1">
      <c r="B529" s="373" t="s">
        <v>236</v>
      </c>
      <c r="D529" s="252">
        <v>1</v>
      </c>
      <c r="H529" s="374"/>
    </row>
    <row r="530" spans="2:8" hidden="1">
      <c r="B530" s="373" t="s">
        <v>130</v>
      </c>
      <c r="D530" s="253">
        <v>2.08</v>
      </c>
      <c r="E530" s="246">
        <v>3</v>
      </c>
      <c r="H530" s="374"/>
    </row>
    <row r="531" spans="2:8" hidden="1">
      <c r="B531" s="373" t="s">
        <v>110</v>
      </c>
      <c r="D531" s="250" t="s">
        <v>21</v>
      </c>
      <c r="H531" s="374"/>
    </row>
    <row r="532" spans="2:8" hidden="1">
      <c r="B532" s="375" t="s">
        <v>123</v>
      </c>
      <c r="C532" s="94"/>
      <c r="D532" s="251"/>
      <c r="F532" s="560" t="s">
        <v>219</v>
      </c>
      <c r="G532" s="561"/>
      <c r="H532" s="255">
        <v>0</v>
      </c>
    </row>
    <row r="533" spans="2:8" hidden="1">
      <c r="B533" s="373" t="s">
        <v>348</v>
      </c>
      <c r="D533" s="250" t="s">
        <v>143</v>
      </c>
      <c r="F533" s="560" t="s">
        <v>220</v>
      </c>
      <c r="G533" s="561"/>
      <c r="H533" s="255">
        <v>0</v>
      </c>
    </row>
    <row r="534" spans="2:8" hidden="1">
      <c r="B534" s="376" t="s">
        <v>349</v>
      </c>
      <c r="C534" s="377"/>
      <c r="D534" s="250" t="s">
        <v>143</v>
      </c>
      <c r="E534" s="377"/>
      <c r="F534" s="377"/>
      <c r="G534" s="377"/>
      <c r="H534" s="378"/>
    </row>
    <row r="535" spans="2:8" hidden="1"/>
    <row r="536" spans="2:8" ht="15.5" hidden="1">
      <c r="B536" s="601">
        <v>12.3</v>
      </c>
      <c r="C536" s="601"/>
      <c r="D536" s="601"/>
      <c r="E536" s="601"/>
      <c r="F536" s="601"/>
      <c r="G536" s="601"/>
      <c r="H536" s="601"/>
    </row>
    <row r="537" spans="2:8" hidden="1">
      <c r="B537" s="373" t="s">
        <v>377</v>
      </c>
      <c r="D537" s="87" t="s">
        <v>100</v>
      </c>
      <c r="H537" s="374"/>
    </row>
    <row r="538" spans="2:8" hidden="1">
      <c r="B538" s="373" t="s">
        <v>104</v>
      </c>
      <c r="D538" s="250">
        <v>100</v>
      </c>
      <c r="G538" t="s">
        <v>105</v>
      </c>
      <c r="H538" s="254" t="s">
        <v>11</v>
      </c>
    </row>
    <row r="539" spans="2:8" hidden="1">
      <c r="B539" s="373" t="s">
        <v>106</v>
      </c>
      <c r="D539" s="250" t="s">
        <v>127</v>
      </c>
      <c r="H539" s="374"/>
    </row>
    <row r="540" spans="2:8" hidden="1">
      <c r="B540" s="375" t="s">
        <v>129</v>
      </c>
      <c r="C540" s="94"/>
      <c r="D540" s="251" t="s">
        <v>143</v>
      </c>
      <c r="H540" s="374"/>
    </row>
    <row r="541" spans="2:8" hidden="1">
      <c r="B541" s="373" t="s">
        <v>236</v>
      </c>
      <c r="D541" s="252">
        <v>1</v>
      </c>
      <c r="H541" s="374"/>
    </row>
    <row r="542" spans="2:8" hidden="1">
      <c r="B542" s="373" t="s">
        <v>130</v>
      </c>
      <c r="D542" s="253">
        <v>2.08</v>
      </c>
      <c r="E542" s="246">
        <v>3</v>
      </c>
      <c r="H542" s="374"/>
    </row>
    <row r="543" spans="2:8" hidden="1">
      <c r="B543" s="373" t="s">
        <v>110</v>
      </c>
      <c r="D543" s="250" t="s">
        <v>21</v>
      </c>
      <c r="H543" s="374"/>
    </row>
    <row r="544" spans="2:8" hidden="1">
      <c r="B544" s="375" t="s">
        <v>123</v>
      </c>
      <c r="C544" s="94"/>
      <c r="D544" s="251"/>
      <c r="F544" s="560" t="s">
        <v>219</v>
      </c>
      <c r="G544" s="561"/>
      <c r="H544" s="255">
        <v>0</v>
      </c>
    </row>
    <row r="545" spans="2:8" hidden="1">
      <c r="B545" s="373" t="s">
        <v>348</v>
      </c>
      <c r="D545" s="250" t="s">
        <v>143</v>
      </c>
      <c r="F545" s="560" t="s">
        <v>220</v>
      </c>
      <c r="G545" s="561"/>
      <c r="H545" s="255">
        <v>0</v>
      </c>
    </row>
    <row r="546" spans="2:8" hidden="1">
      <c r="B546" s="376" t="s">
        <v>349</v>
      </c>
      <c r="C546" s="377"/>
      <c r="D546" s="250" t="s">
        <v>143</v>
      </c>
      <c r="E546" s="377"/>
      <c r="F546" s="377"/>
      <c r="G546" s="377"/>
      <c r="H546" s="378"/>
    </row>
    <row r="547" spans="2:8" hidden="1"/>
    <row r="548" spans="2:8" ht="15.5" hidden="1">
      <c r="B548" s="601">
        <v>2.7</v>
      </c>
      <c r="C548" s="601"/>
      <c r="D548" s="601"/>
      <c r="E548" s="601"/>
      <c r="F548" s="601"/>
      <c r="G548" s="601"/>
      <c r="H548" s="601"/>
    </row>
    <row r="549" spans="2:8" hidden="1">
      <c r="B549" s="373" t="s">
        <v>377</v>
      </c>
      <c r="D549" t="s">
        <v>101</v>
      </c>
      <c r="H549" s="374"/>
    </row>
    <row r="550" spans="2:8" hidden="1">
      <c r="B550" s="373" t="s">
        <v>104</v>
      </c>
      <c r="D550" s="250">
        <v>100</v>
      </c>
      <c r="G550" t="s">
        <v>105</v>
      </c>
      <c r="H550" s="254" t="s">
        <v>11</v>
      </c>
    </row>
    <row r="551" spans="2:8" hidden="1">
      <c r="B551" s="373" t="s">
        <v>106</v>
      </c>
      <c r="D551" s="250" t="s">
        <v>143</v>
      </c>
      <c r="H551" s="374"/>
    </row>
    <row r="552" spans="2:8" hidden="1">
      <c r="B552" s="375" t="s">
        <v>129</v>
      </c>
      <c r="C552" s="94"/>
      <c r="D552" s="251" t="s">
        <v>143</v>
      </c>
      <c r="H552" s="374"/>
    </row>
    <row r="553" spans="2:8" hidden="1">
      <c r="B553" s="373" t="s">
        <v>236</v>
      </c>
      <c r="D553" s="252">
        <v>0</v>
      </c>
      <c r="H553" s="374"/>
    </row>
    <row r="554" spans="2:8" hidden="1">
      <c r="B554" s="373" t="s">
        <v>130</v>
      </c>
      <c r="D554" s="253">
        <v>2.08</v>
      </c>
      <c r="E554" s="246">
        <v>3</v>
      </c>
      <c r="H554" s="374"/>
    </row>
    <row r="555" spans="2:8" hidden="1">
      <c r="B555" s="373" t="s">
        <v>110</v>
      </c>
      <c r="D555" s="250" t="s">
        <v>21</v>
      </c>
      <c r="H555" s="374"/>
    </row>
    <row r="556" spans="2:8" hidden="1">
      <c r="B556" s="375" t="s">
        <v>123</v>
      </c>
      <c r="C556" s="94"/>
      <c r="D556" s="251"/>
      <c r="F556" s="560" t="s">
        <v>219</v>
      </c>
      <c r="G556" s="561"/>
      <c r="H556" s="255">
        <v>0</v>
      </c>
    </row>
    <row r="557" spans="2:8" hidden="1">
      <c r="B557" s="373" t="s">
        <v>348</v>
      </c>
      <c r="D557" s="250" t="s">
        <v>143</v>
      </c>
      <c r="F557" s="560" t="s">
        <v>220</v>
      </c>
      <c r="G557" s="561"/>
      <c r="H557" s="255">
        <v>0</v>
      </c>
    </row>
    <row r="558" spans="2:8" hidden="1">
      <c r="B558" s="376" t="s">
        <v>349</v>
      </c>
      <c r="C558" s="377"/>
      <c r="D558" s="250" t="s">
        <v>143</v>
      </c>
      <c r="E558" s="377"/>
      <c r="F558" s="377"/>
      <c r="G558" s="377"/>
      <c r="H558" s="378"/>
    </row>
    <row r="559" spans="2:8" hidden="1"/>
    <row r="560" spans="2:8" ht="15.5" hidden="1">
      <c r="B560" s="601">
        <v>4.7</v>
      </c>
      <c r="C560" s="601"/>
      <c r="D560" s="601"/>
      <c r="E560" s="601"/>
      <c r="F560" s="601"/>
      <c r="G560" s="601"/>
      <c r="H560" s="601"/>
    </row>
    <row r="561" spans="2:8" hidden="1">
      <c r="B561" s="373" t="s">
        <v>377</v>
      </c>
      <c r="D561" t="s">
        <v>101</v>
      </c>
      <c r="H561" s="374"/>
    </row>
    <row r="562" spans="2:8" hidden="1">
      <c r="B562" s="373" t="s">
        <v>104</v>
      </c>
      <c r="D562" s="250">
        <v>100</v>
      </c>
      <c r="G562" t="s">
        <v>105</v>
      </c>
      <c r="H562" s="254" t="s">
        <v>11</v>
      </c>
    </row>
    <row r="563" spans="2:8" hidden="1">
      <c r="B563" s="373" t="s">
        <v>106</v>
      </c>
      <c r="D563" s="250" t="s">
        <v>143</v>
      </c>
      <c r="H563" s="374"/>
    </row>
    <row r="564" spans="2:8" hidden="1">
      <c r="B564" s="375" t="s">
        <v>129</v>
      </c>
      <c r="C564" s="94"/>
      <c r="D564" s="251" t="s">
        <v>143</v>
      </c>
      <c r="H564" s="374"/>
    </row>
    <row r="565" spans="2:8" hidden="1">
      <c r="B565" s="373" t="s">
        <v>236</v>
      </c>
      <c r="D565" s="252">
        <v>0.5</v>
      </c>
      <c r="H565" s="374"/>
    </row>
    <row r="566" spans="2:8" hidden="1">
      <c r="B566" s="373" t="s">
        <v>130</v>
      </c>
      <c r="D566" s="253">
        <v>2.08</v>
      </c>
      <c r="E566" s="246">
        <v>3</v>
      </c>
      <c r="H566" s="374"/>
    </row>
    <row r="567" spans="2:8" hidden="1">
      <c r="B567" s="373" t="s">
        <v>110</v>
      </c>
      <c r="D567" s="250" t="s">
        <v>21</v>
      </c>
      <c r="H567" s="374"/>
    </row>
    <row r="568" spans="2:8" hidden="1">
      <c r="B568" s="375" t="s">
        <v>123</v>
      </c>
      <c r="C568" s="94"/>
      <c r="D568" s="251"/>
      <c r="F568" s="560" t="s">
        <v>219</v>
      </c>
      <c r="G568" s="561"/>
      <c r="H568" s="255">
        <v>0</v>
      </c>
    </row>
    <row r="569" spans="2:8" hidden="1">
      <c r="B569" s="373" t="s">
        <v>348</v>
      </c>
      <c r="D569" s="250" t="s">
        <v>143</v>
      </c>
      <c r="F569" s="560" t="s">
        <v>220</v>
      </c>
      <c r="G569" s="561"/>
      <c r="H569" s="255">
        <v>0</v>
      </c>
    </row>
    <row r="570" spans="2:8" hidden="1">
      <c r="B570" s="376" t="s">
        <v>349</v>
      </c>
      <c r="C570" s="377"/>
      <c r="D570" s="250" t="s">
        <v>143</v>
      </c>
      <c r="E570" s="377"/>
      <c r="F570" s="377"/>
      <c r="G570" s="377"/>
      <c r="H570" s="378"/>
    </row>
    <row r="571" spans="2:8" hidden="1"/>
    <row r="572" spans="2:8" ht="15.5" hidden="1">
      <c r="B572" s="601">
        <v>6.7</v>
      </c>
      <c r="C572" s="601"/>
      <c r="D572" s="601"/>
      <c r="E572" s="601"/>
      <c r="F572" s="601"/>
      <c r="G572" s="601"/>
      <c r="H572" s="601"/>
    </row>
    <row r="573" spans="2:8" hidden="1">
      <c r="B573" s="373" t="s">
        <v>377</v>
      </c>
      <c r="D573" t="s">
        <v>101</v>
      </c>
      <c r="H573" s="374"/>
    </row>
    <row r="574" spans="2:8" hidden="1">
      <c r="B574" s="373" t="s">
        <v>104</v>
      </c>
      <c r="D574" s="250">
        <v>100</v>
      </c>
      <c r="G574" t="s">
        <v>105</v>
      </c>
      <c r="H574" s="254" t="s">
        <v>11</v>
      </c>
    </row>
    <row r="575" spans="2:8" hidden="1">
      <c r="B575" s="373" t="s">
        <v>106</v>
      </c>
      <c r="D575" s="250" t="s">
        <v>143</v>
      </c>
      <c r="H575" s="374"/>
    </row>
    <row r="576" spans="2:8" hidden="1">
      <c r="B576" s="375" t="s">
        <v>129</v>
      </c>
      <c r="C576" s="94"/>
      <c r="D576" s="251" t="s">
        <v>143</v>
      </c>
      <c r="H576" s="374"/>
    </row>
    <row r="577" spans="2:8" hidden="1">
      <c r="B577" s="373" t="s">
        <v>236</v>
      </c>
      <c r="D577" s="252">
        <v>1</v>
      </c>
      <c r="H577" s="374"/>
    </row>
    <row r="578" spans="2:8" hidden="1">
      <c r="B578" s="373" t="s">
        <v>130</v>
      </c>
      <c r="D578" s="253">
        <v>2.08</v>
      </c>
      <c r="E578" s="246">
        <v>3</v>
      </c>
      <c r="H578" s="374"/>
    </row>
    <row r="579" spans="2:8" hidden="1">
      <c r="B579" s="373" t="s">
        <v>110</v>
      </c>
      <c r="D579" s="250" t="s">
        <v>21</v>
      </c>
      <c r="H579" s="374"/>
    </row>
    <row r="580" spans="2:8" hidden="1">
      <c r="B580" s="375" t="s">
        <v>123</v>
      </c>
      <c r="C580" s="94"/>
      <c r="D580" s="251"/>
      <c r="F580" s="560" t="s">
        <v>219</v>
      </c>
      <c r="G580" s="561"/>
      <c r="H580" s="255">
        <v>0</v>
      </c>
    </row>
    <row r="581" spans="2:8" hidden="1">
      <c r="B581" s="373" t="s">
        <v>348</v>
      </c>
      <c r="D581" s="250" t="s">
        <v>143</v>
      </c>
      <c r="F581" s="560" t="s">
        <v>220</v>
      </c>
      <c r="G581" s="561"/>
      <c r="H581" s="255">
        <v>0</v>
      </c>
    </row>
    <row r="582" spans="2:8" hidden="1">
      <c r="B582" s="376" t="s">
        <v>349</v>
      </c>
      <c r="C582" s="377"/>
      <c r="D582" s="250" t="s">
        <v>143</v>
      </c>
      <c r="E582" s="377"/>
      <c r="F582" s="377"/>
      <c r="G582" s="377"/>
      <c r="H582" s="378"/>
    </row>
    <row r="583" spans="2:8" hidden="1"/>
    <row r="584" spans="2:8" ht="15.5" hidden="1">
      <c r="B584" s="601">
        <v>8.6999999999999993</v>
      </c>
      <c r="C584" s="601"/>
      <c r="D584" s="601"/>
      <c r="E584" s="601"/>
      <c r="F584" s="601"/>
      <c r="G584" s="601"/>
      <c r="H584" s="601"/>
    </row>
    <row r="585" spans="2:8" hidden="1">
      <c r="B585" s="373" t="s">
        <v>377</v>
      </c>
      <c r="D585" t="s">
        <v>101</v>
      </c>
      <c r="H585" s="374"/>
    </row>
    <row r="586" spans="2:8" hidden="1">
      <c r="B586" s="373" t="s">
        <v>104</v>
      </c>
      <c r="D586" s="250">
        <v>100</v>
      </c>
      <c r="G586" t="s">
        <v>105</v>
      </c>
      <c r="H586" s="254" t="s">
        <v>11</v>
      </c>
    </row>
    <row r="587" spans="2:8" hidden="1">
      <c r="B587" s="373" t="s">
        <v>106</v>
      </c>
      <c r="D587" s="250" t="s">
        <v>127</v>
      </c>
      <c r="H587" s="374"/>
    </row>
    <row r="588" spans="2:8" hidden="1">
      <c r="B588" s="375" t="s">
        <v>129</v>
      </c>
      <c r="C588" s="94"/>
      <c r="D588" s="251" t="s">
        <v>143</v>
      </c>
      <c r="H588" s="374"/>
    </row>
    <row r="589" spans="2:8" hidden="1">
      <c r="B589" s="373" t="s">
        <v>236</v>
      </c>
      <c r="D589" s="252">
        <v>0</v>
      </c>
      <c r="H589" s="374"/>
    </row>
    <row r="590" spans="2:8" hidden="1">
      <c r="B590" s="373" t="s">
        <v>130</v>
      </c>
      <c r="D590" s="253">
        <v>2.08</v>
      </c>
      <c r="E590" s="246">
        <v>3</v>
      </c>
      <c r="H590" s="374"/>
    </row>
    <row r="591" spans="2:8" hidden="1">
      <c r="B591" s="373" t="s">
        <v>110</v>
      </c>
      <c r="D591" s="250" t="s">
        <v>21</v>
      </c>
      <c r="H591" s="374"/>
    </row>
    <row r="592" spans="2:8" hidden="1">
      <c r="B592" s="375" t="s">
        <v>123</v>
      </c>
      <c r="C592" s="94"/>
      <c r="D592" s="251"/>
      <c r="F592" s="560" t="s">
        <v>219</v>
      </c>
      <c r="G592" s="561"/>
      <c r="H592" s="255">
        <v>0</v>
      </c>
    </row>
    <row r="593" spans="2:8" hidden="1">
      <c r="B593" s="373" t="s">
        <v>348</v>
      </c>
      <c r="D593" s="250" t="s">
        <v>143</v>
      </c>
      <c r="F593" s="560" t="s">
        <v>220</v>
      </c>
      <c r="G593" s="561"/>
      <c r="H593" s="255">
        <v>0</v>
      </c>
    </row>
    <row r="594" spans="2:8" hidden="1">
      <c r="B594" s="376" t="s">
        <v>349</v>
      </c>
      <c r="C594" s="377"/>
      <c r="D594" s="250" t="s">
        <v>143</v>
      </c>
      <c r="E594" s="377"/>
      <c r="F594" s="377"/>
      <c r="G594" s="377"/>
      <c r="H594" s="378"/>
    </row>
    <row r="595" spans="2:8" hidden="1"/>
    <row r="596" spans="2:8" ht="15.5" hidden="1">
      <c r="B596" s="601">
        <v>10.7</v>
      </c>
      <c r="C596" s="601"/>
      <c r="D596" s="601"/>
      <c r="E596" s="601"/>
      <c r="F596" s="601"/>
      <c r="G596" s="601"/>
      <c r="H596" s="601"/>
    </row>
    <row r="597" spans="2:8" hidden="1">
      <c r="B597" s="373" t="s">
        <v>377</v>
      </c>
      <c r="D597" t="s">
        <v>101</v>
      </c>
      <c r="H597" s="374"/>
    </row>
    <row r="598" spans="2:8" hidden="1">
      <c r="B598" s="373" t="s">
        <v>104</v>
      </c>
      <c r="D598" s="250">
        <v>100</v>
      </c>
      <c r="G598" t="s">
        <v>105</v>
      </c>
      <c r="H598" s="254" t="s">
        <v>11</v>
      </c>
    </row>
    <row r="599" spans="2:8" hidden="1">
      <c r="B599" s="373" t="s">
        <v>106</v>
      </c>
      <c r="D599" s="250" t="s">
        <v>127</v>
      </c>
      <c r="H599" s="374"/>
    </row>
    <row r="600" spans="2:8" hidden="1">
      <c r="B600" s="375" t="s">
        <v>129</v>
      </c>
      <c r="C600" s="94"/>
      <c r="D600" s="251" t="s">
        <v>143</v>
      </c>
      <c r="H600" s="374"/>
    </row>
    <row r="601" spans="2:8" hidden="1">
      <c r="B601" s="373" t="s">
        <v>236</v>
      </c>
      <c r="D601" s="252">
        <v>0.5</v>
      </c>
      <c r="H601" s="374"/>
    </row>
    <row r="602" spans="2:8" hidden="1">
      <c r="B602" s="373" t="s">
        <v>130</v>
      </c>
      <c r="D602" s="253">
        <v>2.08</v>
      </c>
      <c r="E602" s="246">
        <v>3</v>
      </c>
      <c r="H602" s="374"/>
    </row>
    <row r="603" spans="2:8" hidden="1">
      <c r="B603" s="373" t="s">
        <v>110</v>
      </c>
      <c r="D603" s="250" t="s">
        <v>21</v>
      </c>
      <c r="H603" s="374"/>
    </row>
    <row r="604" spans="2:8" hidden="1">
      <c r="B604" s="375" t="s">
        <v>123</v>
      </c>
      <c r="C604" s="94"/>
      <c r="D604" s="251"/>
      <c r="F604" s="560" t="s">
        <v>219</v>
      </c>
      <c r="G604" s="561"/>
      <c r="H604" s="255">
        <v>0</v>
      </c>
    </row>
    <row r="605" spans="2:8" hidden="1">
      <c r="B605" s="373" t="s">
        <v>348</v>
      </c>
      <c r="D605" s="250" t="s">
        <v>143</v>
      </c>
      <c r="F605" s="560" t="s">
        <v>220</v>
      </c>
      <c r="G605" s="561"/>
      <c r="H605" s="255">
        <v>0</v>
      </c>
    </row>
    <row r="606" spans="2:8" hidden="1">
      <c r="B606" s="376" t="s">
        <v>349</v>
      </c>
      <c r="C606" s="377"/>
      <c r="D606" s="250" t="s">
        <v>143</v>
      </c>
      <c r="E606" s="377"/>
      <c r="F606" s="377"/>
      <c r="G606" s="377"/>
      <c r="H606" s="378"/>
    </row>
    <row r="607" spans="2:8" hidden="1"/>
    <row r="608" spans="2:8" ht="15.5" hidden="1">
      <c r="B608" s="601">
        <v>12.7</v>
      </c>
      <c r="C608" s="601"/>
      <c r="D608" s="601"/>
      <c r="E608" s="601"/>
      <c r="F608" s="601"/>
      <c r="G608" s="601"/>
      <c r="H608" s="601"/>
    </row>
    <row r="609" spans="2:8" hidden="1">
      <c r="B609" s="373" t="s">
        <v>377</v>
      </c>
      <c r="D609" t="s">
        <v>101</v>
      </c>
      <c r="H609" s="374"/>
    </row>
    <row r="610" spans="2:8" hidden="1">
      <c r="B610" s="373" t="s">
        <v>104</v>
      </c>
      <c r="D610" s="250">
        <v>100</v>
      </c>
      <c r="G610" t="s">
        <v>105</v>
      </c>
      <c r="H610" s="254" t="s">
        <v>11</v>
      </c>
    </row>
    <row r="611" spans="2:8" hidden="1">
      <c r="B611" s="373" t="s">
        <v>106</v>
      </c>
      <c r="D611" s="250" t="s">
        <v>127</v>
      </c>
      <c r="H611" s="374"/>
    </row>
    <row r="612" spans="2:8" hidden="1">
      <c r="B612" s="375" t="s">
        <v>129</v>
      </c>
      <c r="C612" s="94"/>
      <c r="D612" s="251" t="s">
        <v>143</v>
      </c>
      <c r="H612" s="374"/>
    </row>
    <row r="613" spans="2:8" hidden="1">
      <c r="B613" s="373" t="s">
        <v>236</v>
      </c>
      <c r="D613" s="252">
        <v>0.5</v>
      </c>
      <c r="H613" s="374"/>
    </row>
    <row r="614" spans="2:8" hidden="1">
      <c r="B614" s="373" t="s">
        <v>130</v>
      </c>
      <c r="D614" s="253">
        <v>2.08</v>
      </c>
      <c r="E614" s="246">
        <v>3</v>
      </c>
      <c r="H614" s="374"/>
    </row>
    <row r="615" spans="2:8" hidden="1">
      <c r="B615" s="373" t="s">
        <v>110</v>
      </c>
      <c r="D615" s="250" t="s">
        <v>21</v>
      </c>
      <c r="H615" s="374"/>
    </row>
    <row r="616" spans="2:8" hidden="1">
      <c r="B616" s="375" t="s">
        <v>123</v>
      </c>
      <c r="C616" s="94"/>
      <c r="D616" s="251"/>
      <c r="F616" s="560" t="s">
        <v>219</v>
      </c>
      <c r="G616" s="561"/>
      <c r="H616" s="255">
        <v>0</v>
      </c>
    </row>
    <row r="617" spans="2:8" hidden="1">
      <c r="B617" s="373" t="s">
        <v>348</v>
      </c>
      <c r="D617" s="250" t="s">
        <v>143</v>
      </c>
      <c r="F617" s="560" t="s">
        <v>220</v>
      </c>
      <c r="G617" s="561"/>
      <c r="H617" s="255">
        <v>0</v>
      </c>
    </row>
    <row r="618" spans="2:8" hidden="1">
      <c r="B618" s="376" t="s">
        <v>349</v>
      </c>
      <c r="C618" s="377"/>
      <c r="D618" s="250" t="s">
        <v>143</v>
      </c>
      <c r="E618" s="377"/>
      <c r="F618" s="377"/>
      <c r="G618" s="377"/>
      <c r="H618" s="378"/>
    </row>
    <row r="619" spans="2:8" hidden="1"/>
    <row r="620" spans="2:8" hidden="1"/>
    <row r="621" spans="2:8" hidden="1"/>
    <row r="622" spans="2:8" hidden="1"/>
    <row r="623" spans="2:8" hidden="1"/>
    <row r="626" spans="2:2" ht="21">
      <c r="B626" s="470" t="s">
        <v>387</v>
      </c>
    </row>
    <row r="628" spans="2:2">
      <c r="B628" t="str">
        <f>+CP_2026!A5</f>
        <v>LISTA DE PRECIOS 
VIGENTE  AGOSTO DE 2026</v>
      </c>
    </row>
    <row r="629" spans="2:2">
      <c r="B629" t="s">
        <v>392</v>
      </c>
    </row>
    <row r="630" spans="2:2">
      <c r="B630" t="s">
        <v>393</v>
      </c>
    </row>
    <row r="647" spans="2:3" ht="21">
      <c r="B647" s="470"/>
      <c r="C647" s="470"/>
    </row>
  </sheetData>
  <mergeCells count="169">
    <mergeCell ref="B1:G1"/>
    <mergeCell ref="O15:P15"/>
    <mergeCell ref="B17:C17"/>
    <mergeCell ref="B18:C18"/>
    <mergeCell ref="B19:C19"/>
    <mergeCell ref="B20:C20"/>
    <mergeCell ref="B21:C21"/>
    <mergeCell ref="B12:P12"/>
    <mergeCell ref="B13:P13"/>
    <mergeCell ref="B14:B16"/>
    <mergeCell ref="D14:I14"/>
    <mergeCell ref="K14:P14"/>
    <mergeCell ref="D15:E15"/>
    <mergeCell ref="F15:G15"/>
    <mergeCell ref="H15:I15"/>
    <mergeCell ref="K15:L15"/>
    <mergeCell ref="M15:N15"/>
    <mergeCell ref="B32:H32"/>
    <mergeCell ref="F40:G40"/>
    <mergeCell ref="F41:G41"/>
    <mergeCell ref="B44:H44"/>
    <mergeCell ref="F52:G52"/>
    <mergeCell ref="F53:G53"/>
    <mergeCell ref="B22:C22"/>
    <mergeCell ref="B23:C23"/>
    <mergeCell ref="B24:C24"/>
    <mergeCell ref="B25:C25"/>
    <mergeCell ref="B26:C26"/>
    <mergeCell ref="B80:H80"/>
    <mergeCell ref="F88:G88"/>
    <mergeCell ref="F89:G89"/>
    <mergeCell ref="B92:H92"/>
    <mergeCell ref="F100:G100"/>
    <mergeCell ref="F101:G101"/>
    <mergeCell ref="B56:H56"/>
    <mergeCell ref="F64:G64"/>
    <mergeCell ref="F65:G65"/>
    <mergeCell ref="B68:H68"/>
    <mergeCell ref="F76:G76"/>
    <mergeCell ref="F77:G77"/>
    <mergeCell ref="B128:H128"/>
    <mergeCell ref="F136:G136"/>
    <mergeCell ref="F137:G137"/>
    <mergeCell ref="B140:H140"/>
    <mergeCell ref="F148:G148"/>
    <mergeCell ref="F149:G149"/>
    <mergeCell ref="B104:H104"/>
    <mergeCell ref="F112:G112"/>
    <mergeCell ref="F113:G113"/>
    <mergeCell ref="B116:H116"/>
    <mergeCell ref="F124:G124"/>
    <mergeCell ref="F125:G125"/>
    <mergeCell ref="B176:H176"/>
    <mergeCell ref="F184:G184"/>
    <mergeCell ref="F185:G185"/>
    <mergeCell ref="B188:H188"/>
    <mergeCell ref="F196:G196"/>
    <mergeCell ref="F197:G197"/>
    <mergeCell ref="B152:H152"/>
    <mergeCell ref="F160:G160"/>
    <mergeCell ref="F161:G161"/>
    <mergeCell ref="B164:H164"/>
    <mergeCell ref="F172:G172"/>
    <mergeCell ref="F173:G173"/>
    <mergeCell ref="B224:H224"/>
    <mergeCell ref="F232:G232"/>
    <mergeCell ref="F233:G233"/>
    <mergeCell ref="B236:H236"/>
    <mergeCell ref="F244:G244"/>
    <mergeCell ref="F245:G245"/>
    <mergeCell ref="B200:H200"/>
    <mergeCell ref="F208:G208"/>
    <mergeCell ref="F209:G209"/>
    <mergeCell ref="B212:H212"/>
    <mergeCell ref="F220:G220"/>
    <mergeCell ref="F221:G221"/>
    <mergeCell ref="B272:H272"/>
    <mergeCell ref="F280:G280"/>
    <mergeCell ref="F281:G281"/>
    <mergeCell ref="B284:H284"/>
    <mergeCell ref="F292:G292"/>
    <mergeCell ref="F293:G293"/>
    <mergeCell ref="B248:H248"/>
    <mergeCell ref="F256:G256"/>
    <mergeCell ref="F257:G257"/>
    <mergeCell ref="B260:H260"/>
    <mergeCell ref="F268:G268"/>
    <mergeCell ref="F269:G269"/>
    <mergeCell ref="B320:H320"/>
    <mergeCell ref="F328:G328"/>
    <mergeCell ref="F329:G329"/>
    <mergeCell ref="B332:H332"/>
    <mergeCell ref="F340:G340"/>
    <mergeCell ref="F341:G341"/>
    <mergeCell ref="B296:H296"/>
    <mergeCell ref="F304:G304"/>
    <mergeCell ref="F305:G305"/>
    <mergeCell ref="B308:H308"/>
    <mergeCell ref="F316:G316"/>
    <mergeCell ref="F317:G317"/>
    <mergeCell ref="B368:H368"/>
    <mergeCell ref="F376:G376"/>
    <mergeCell ref="F377:G377"/>
    <mergeCell ref="B380:H380"/>
    <mergeCell ref="F388:G388"/>
    <mergeCell ref="F389:G389"/>
    <mergeCell ref="B344:H344"/>
    <mergeCell ref="F352:G352"/>
    <mergeCell ref="F353:G353"/>
    <mergeCell ref="B356:H356"/>
    <mergeCell ref="F364:G364"/>
    <mergeCell ref="F365:G365"/>
    <mergeCell ref="B416:H416"/>
    <mergeCell ref="F424:G424"/>
    <mergeCell ref="F425:G425"/>
    <mergeCell ref="B428:H428"/>
    <mergeCell ref="F436:G436"/>
    <mergeCell ref="F437:G437"/>
    <mergeCell ref="B392:H392"/>
    <mergeCell ref="F400:G400"/>
    <mergeCell ref="F401:G401"/>
    <mergeCell ref="B404:H404"/>
    <mergeCell ref="F412:G412"/>
    <mergeCell ref="F413:G413"/>
    <mergeCell ref="B464:H464"/>
    <mergeCell ref="F472:G472"/>
    <mergeCell ref="F473:G473"/>
    <mergeCell ref="B476:H476"/>
    <mergeCell ref="F484:G484"/>
    <mergeCell ref="F485:G485"/>
    <mergeCell ref="B440:H440"/>
    <mergeCell ref="F448:G448"/>
    <mergeCell ref="F449:G449"/>
    <mergeCell ref="B452:H452"/>
    <mergeCell ref="F460:G460"/>
    <mergeCell ref="F461:G461"/>
    <mergeCell ref="B512:H512"/>
    <mergeCell ref="F520:G520"/>
    <mergeCell ref="F521:G521"/>
    <mergeCell ref="B524:H524"/>
    <mergeCell ref="F532:G532"/>
    <mergeCell ref="F533:G533"/>
    <mergeCell ref="B488:H488"/>
    <mergeCell ref="F496:G496"/>
    <mergeCell ref="F497:G497"/>
    <mergeCell ref="B500:H500"/>
    <mergeCell ref="F508:G508"/>
    <mergeCell ref="F509:G509"/>
    <mergeCell ref="B560:H560"/>
    <mergeCell ref="F568:G568"/>
    <mergeCell ref="F569:G569"/>
    <mergeCell ref="B572:H572"/>
    <mergeCell ref="F580:G580"/>
    <mergeCell ref="F581:G581"/>
    <mergeCell ref="B536:H536"/>
    <mergeCell ref="F544:G544"/>
    <mergeCell ref="F545:G545"/>
    <mergeCell ref="B548:H548"/>
    <mergeCell ref="F556:G556"/>
    <mergeCell ref="F557:G557"/>
    <mergeCell ref="B608:H608"/>
    <mergeCell ref="F616:G616"/>
    <mergeCell ref="F617:G617"/>
    <mergeCell ref="B584:H584"/>
    <mergeCell ref="F592:G592"/>
    <mergeCell ref="F593:G593"/>
    <mergeCell ref="B596:H596"/>
    <mergeCell ref="F604:G604"/>
    <mergeCell ref="F605:G605"/>
  </mergeCells>
  <conditionalFormatting sqref="D34:D39">
    <cfRule type="expression" dxfId="343" priority="343">
      <formula>$C$4="PERIMETRAL"</formula>
    </cfRule>
  </conditionalFormatting>
  <conditionalFormatting sqref="D34 D37:D39">
    <cfRule type="expression" dxfId="342" priority="340">
      <formula>$C$4="MAXIMA SEGURIDAD"</formula>
    </cfRule>
    <cfRule type="expression" dxfId="341" priority="342">
      <formula>$C$4="URBANA"</formula>
    </cfRule>
  </conditionalFormatting>
  <conditionalFormatting sqref="D34 D39:D42">
    <cfRule type="expression" dxfId="340" priority="341">
      <formula>$C$4="INTRADOMICILIARIA"</formula>
    </cfRule>
  </conditionalFormatting>
  <conditionalFormatting sqref="D41:D42">
    <cfRule type="expression" dxfId="339" priority="339">
      <formula>$C$4="PERIMETRAL"</formula>
    </cfRule>
  </conditionalFormatting>
  <conditionalFormatting sqref="D41:D42">
    <cfRule type="expression" dxfId="338" priority="337">
      <formula>$C$4="MAXIMA SEGURIDAD"</formula>
    </cfRule>
    <cfRule type="expression" dxfId="337" priority="338">
      <formula>$C$4="URBANA"</formula>
    </cfRule>
  </conditionalFormatting>
  <conditionalFormatting sqref="D46:D51">
    <cfRule type="expression" dxfId="336" priority="336">
      <formula>$C$4="PERIMETRAL"</formula>
    </cfRule>
  </conditionalFormatting>
  <conditionalFormatting sqref="D46 D49:D51">
    <cfRule type="expression" dxfId="335" priority="333">
      <formula>$C$4="MAXIMA SEGURIDAD"</formula>
    </cfRule>
    <cfRule type="expression" dxfId="334" priority="335">
      <formula>$C$4="URBANA"</formula>
    </cfRule>
  </conditionalFormatting>
  <conditionalFormatting sqref="D46 D51:D54">
    <cfRule type="expression" dxfId="333" priority="334">
      <formula>$C$4="INTRADOMICILIARIA"</formula>
    </cfRule>
  </conditionalFormatting>
  <conditionalFormatting sqref="D53:D54">
    <cfRule type="expression" dxfId="332" priority="332">
      <formula>$C$4="PERIMETRAL"</formula>
    </cfRule>
  </conditionalFormatting>
  <conditionalFormatting sqref="D53:D54">
    <cfRule type="expression" dxfId="331" priority="330">
      <formula>$C$4="MAXIMA SEGURIDAD"</formula>
    </cfRule>
    <cfRule type="expression" dxfId="330" priority="331">
      <formula>$C$4="URBANA"</formula>
    </cfRule>
  </conditionalFormatting>
  <conditionalFormatting sqref="D58:D63">
    <cfRule type="expression" dxfId="329" priority="329">
      <formula>$C$4="PERIMETRAL"</formula>
    </cfRule>
  </conditionalFormatting>
  <conditionalFormatting sqref="D58 D61:D63">
    <cfRule type="expression" dxfId="328" priority="326">
      <formula>$C$4="MAXIMA SEGURIDAD"</formula>
    </cfRule>
    <cfRule type="expression" dxfId="327" priority="328">
      <formula>$C$4="URBANA"</formula>
    </cfRule>
  </conditionalFormatting>
  <conditionalFormatting sqref="D58 D63:D66">
    <cfRule type="expression" dxfId="326" priority="327">
      <formula>$C$4="INTRADOMICILIARIA"</formula>
    </cfRule>
  </conditionalFormatting>
  <conditionalFormatting sqref="D65:D66">
    <cfRule type="expression" dxfId="325" priority="325">
      <formula>$C$4="PERIMETRAL"</formula>
    </cfRule>
  </conditionalFormatting>
  <conditionalFormatting sqref="D65:D66">
    <cfRule type="expression" dxfId="324" priority="323">
      <formula>$C$4="MAXIMA SEGURIDAD"</formula>
    </cfRule>
    <cfRule type="expression" dxfId="323" priority="324">
      <formula>$C$4="URBANA"</formula>
    </cfRule>
  </conditionalFormatting>
  <conditionalFormatting sqref="D70:D75">
    <cfRule type="expression" dxfId="322" priority="322">
      <formula>$C$4="PERIMETRAL"</formula>
    </cfRule>
  </conditionalFormatting>
  <conditionalFormatting sqref="D70 D73:D75">
    <cfRule type="expression" dxfId="321" priority="319">
      <formula>$C$4="MAXIMA SEGURIDAD"</formula>
    </cfRule>
    <cfRule type="expression" dxfId="320" priority="321">
      <formula>$C$4="URBANA"</formula>
    </cfRule>
  </conditionalFormatting>
  <conditionalFormatting sqref="D70 D75:D78">
    <cfRule type="expression" dxfId="319" priority="320">
      <formula>$C$4="INTRADOMICILIARIA"</formula>
    </cfRule>
  </conditionalFormatting>
  <conditionalFormatting sqref="D77:D78">
    <cfRule type="expression" dxfId="318" priority="318">
      <formula>$C$4="PERIMETRAL"</formula>
    </cfRule>
  </conditionalFormatting>
  <conditionalFormatting sqref="D77:D78">
    <cfRule type="expression" dxfId="317" priority="316">
      <formula>$C$4="MAXIMA SEGURIDAD"</formula>
    </cfRule>
    <cfRule type="expression" dxfId="316" priority="317">
      <formula>$C$4="URBANA"</formula>
    </cfRule>
  </conditionalFormatting>
  <conditionalFormatting sqref="D82:D87">
    <cfRule type="expression" dxfId="315" priority="315">
      <formula>$C$4="PERIMETRAL"</formula>
    </cfRule>
  </conditionalFormatting>
  <conditionalFormatting sqref="D82 D85:D87">
    <cfRule type="expression" dxfId="314" priority="312">
      <formula>$C$4="MAXIMA SEGURIDAD"</formula>
    </cfRule>
    <cfRule type="expression" dxfId="313" priority="314">
      <formula>$C$4="URBANA"</formula>
    </cfRule>
  </conditionalFormatting>
  <conditionalFormatting sqref="D82 D87:D90">
    <cfRule type="expression" dxfId="312" priority="313">
      <formula>$C$4="INTRADOMICILIARIA"</formula>
    </cfRule>
  </conditionalFormatting>
  <conditionalFormatting sqref="D89:D90">
    <cfRule type="expression" dxfId="311" priority="311">
      <formula>$C$4="PERIMETRAL"</formula>
    </cfRule>
  </conditionalFormatting>
  <conditionalFormatting sqref="D89:D90">
    <cfRule type="expression" dxfId="310" priority="309">
      <formula>$C$4="MAXIMA SEGURIDAD"</formula>
    </cfRule>
    <cfRule type="expression" dxfId="309" priority="310">
      <formula>$C$4="URBANA"</formula>
    </cfRule>
  </conditionalFormatting>
  <conditionalFormatting sqref="D94:D99">
    <cfRule type="expression" dxfId="308" priority="308">
      <formula>$C$4="PERIMETRAL"</formula>
    </cfRule>
  </conditionalFormatting>
  <conditionalFormatting sqref="D94 D97:D99">
    <cfRule type="expression" dxfId="307" priority="305">
      <formula>$C$4="MAXIMA SEGURIDAD"</formula>
    </cfRule>
    <cfRule type="expression" dxfId="306" priority="307">
      <formula>$C$4="URBANA"</formula>
    </cfRule>
  </conditionalFormatting>
  <conditionalFormatting sqref="D94 D99:D102">
    <cfRule type="expression" dxfId="305" priority="306">
      <formula>$C$4="INTRADOMICILIARIA"</formula>
    </cfRule>
  </conditionalFormatting>
  <conditionalFormatting sqref="D101:D102">
    <cfRule type="expression" dxfId="304" priority="304">
      <formula>$C$4="PERIMETRAL"</formula>
    </cfRule>
  </conditionalFormatting>
  <conditionalFormatting sqref="D101:D102">
    <cfRule type="expression" dxfId="303" priority="302">
      <formula>$C$4="MAXIMA SEGURIDAD"</formula>
    </cfRule>
    <cfRule type="expression" dxfId="302" priority="303">
      <formula>$C$4="URBANA"</formula>
    </cfRule>
  </conditionalFormatting>
  <conditionalFormatting sqref="D106:D111">
    <cfRule type="expression" dxfId="301" priority="301">
      <formula>$C$4="PERIMETRAL"</formula>
    </cfRule>
  </conditionalFormatting>
  <conditionalFormatting sqref="D106 D109:D111">
    <cfRule type="expression" dxfId="300" priority="298">
      <formula>$C$4="MAXIMA SEGURIDAD"</formula>
    </cfRule>
    <cfRule type="expression" dxfId="299" priority="300">
      <formula>$C$4="URBANA"</formula>
    </cfRule>
  </conditionalFormatting>
  <conditionalFormatting sqref="D106 D111:D114">
    <cfRule type="expression" dxfId="298" priority="299">
      <formula>$C$4="INTRADOMICILIARIA"</formula>
    </cfRule>
  </conditionalFormatting>
  <conditionalFormatting sqref="D113:D114">
    <cfRule type="expression" dxfId="297" priority="297">
      <formula>$C$4="PERIMETRAL"</formula>
    </cfRule>
  </conditionalFormatting>
  <conditionalFormatting sqref="D113:D114">
    <cfRule type="expression" dxfId="296" priority="295">
      <formula>$C$4="MAXIMA SEGURIDAD"</formula>
    </cfRule>
    <cfRule type="expression" dxfId="295" priority="296">
      <formula>$C$4="URBANA"</formula>
    </cfRule>
  </conditionalFormatting>
  <conditionalFormatting sqref="D118:D123">
    <cfRule type="expression" dxfId="294" priority="294">
      <formula>$C$4="PERIMETRAL"</formula>
    </cfRule>
  </conditionalFormatting>
  <conditionalFormatting sqref="D118 D121:D123">
    <cfRule type="expression" dxfId="293" priority="291">
      <formula>$C$4="MAXIMA SEGURIDAD"</formula>
    </cfRule>
    <cfRule type="expression" dxfId="292" priority="293">
      <formula>$C$4="URBANA"</formula>
    </cfRule>
  </conditionalFormatting>
  <conditionalFormatting sqref="D118 D123:D126">
    <cfRule type="expression" dxfId="291" priority="292">
      <formula>$C$4="INTRADOMICILIARIA"</formula>
    </cfRule>
  </conditionalFormatting>
  <conditionalFormatting sqref="D125:D126">
    <cfRule type="expression" dxfId="290" priority="290">
      <formula>$C$4="PERIMETRAL"</formula>
    </cfRule>
  </conditionalFormatting>
  <conditionalFormatting sqref="D125:D126">
    <cfRule type="expression" dxfId="289" priority="288">
      <formula>$C$4="MAXIMA SEGURIDAD"</formula>
    </cfRule>
    <cfRule type="expression" dxfId="288" priority="289">
      <formula>$C$4="URBANA"</formula>
    </cfRule>
  </conditionalFormatting>
  <conditionalFormatting sqref="D130:D135">
    <cfRule type="expression" dxfId="287" priority="287">
      <formula>$C$4="PERIMETRAL"</formula>
    </cfRule>
  </conditionalFormatting>
  <conditionalFormatting sqref="D130 D133:D135">
    <cfRule type="expression" dxfId="286" priority="284">
      <formula>$C$4="MAXIMA SEGURIDAD"</formula>
    </cfRule>
    <cfRule type="expression" dxfId="285" priority="286">
      <formula>$C$4="URBANA"</formula>
    </cfRule>
  </conditionalFormatting>
  <conditionalFormatting sqref="D130 D135:D138">
    <cfRule type="expression" dxfId="284" priority="285">
      <formula>$C$4="INTRADOMICILIARIA"</formula>
    </cfRule>
  </conditionalFormatting>
  <conditionalFormatting sqref="D137:D138">
    <cfRule type="expression" dxfId="283" priority="283">
      <formula>$C$4="PERIMETRAL"</formula>
    </cfRule>
  </conditionalFormatting>
  <conditionalFormatting sqref="D137:D138">
    <cfRule type="expression" dxfId="282" priority="281">
      <formula>$C$4="MAXIMA SEGURIDAD"</formula>
    </cfRule>
    <cfRule type="expression" dxfId="281" priority="282">
      <formula>$C$4="URBANA"</formula>
    </cfRule>
  </conditionalFormatting>
  <conditionalFormatting sqref="D142:D147">
    <cfRule type="expression" dxfId="280" priority="280">
      <formula>$C$4="PERIMETRAL"</formula>
    </cfRule>
  </conditionalFormatting>
  <conditionalFormatting sqref="D142 D145:D147">
    <cfRule type="expression" dxfId="279" priority="277">
      <formula>$C$4="MAXIMA SEGURIDAD"</formula>
    </cfRule>
    <cfRule type="expression" dxfId="278" priority="279">
      <formula>$C$4="URBANA"</formula>
    </cfRule>
  </conditionalFormatting>
  <conditionalFormatting sqref="D142 D147:D150">
    <cfRule type="expression" dxfId="277" priority="278">
      <formula>$C$4="INTRADOMICILIARIA"</formula>
    </cfRule>
  </conditionalFormatting>
  <conditionalFormatting sqref="D149:D150">
    <cfRule type="expression" dxfId="276" priority="276">
      <formula>$C$4="PERIMETRAL"</formula>
    </cfRule>
  </conditionalFormatting>
  <conditionalFormatting sqref="D149:D150">
    <cfRule type="expression" dxfId="275" priority="274">
      <formula>$C$4="MAXIMA SEGURIDAD"</formula>
    </cfRule>
    <cfRule type="expression" dxfId="274" priority="275">
      <formula>$C$4="URBANA"</formula>
    </cfRule>
  </conditionalFormatting>
  <conditionalFormatting sqref="D154:D159">
    <cfRule type="expression" dxfId="273" priority="273">
      <formula>$C$4="PERIMETRAL"</formula>
    </cfRule>
  </conditionalFormatting>
  <conditionalFormatting sqref="D154 D157:D159">
    <cfRule type="expression" dxfId="272" priority="270">
      <formula>$C$4="MAXIMA SEGURIDAD"</formula>
    </cfRule>
    <cfRule type="expression" dxfId="271" priority="272">
      <formula>$C$4="URBANA"</formula>
    </cfRule>
  </conditionalFormatting>
  <conditionalFormatting sqref="D154 D159:D162">
    <cfRule type="expression" dxfId="270" priority="271">
      <formula>$C$4="INTRADOMICILIARIA"</formula>
    </cfRule>
  </conditionalFormatting>
  <conditionalFormatting sqref="D161:D162">
    <cfRule type="expression" dxfId="269" priority="269">
      <formula>$C$4="PERIMETRAL"</formula>
    </cfRule>
  </conditionalFormatting>
  <conditionalFormatting sqref="D161:D162">
    <cfRule type="expression" dxfId="268" priority="267">
      <formula>$C$4="MAXIMA SEGURIDAD"</formula>
    </cfRule>
    <cfRule type="expression" dxfId="267" priority="268">
      <formula>$C$4="URBANA"</formula>
    </cfRule>
  </conditionalFormatting>
  <conditionalFormatting sqref="D166:D171">
    <cfRule type="expression" dxfId="266" priority="266">
      <formula>$C$4="PERIMETRAL"</formula>
    </cfRule>
  </conditionalFormatting>
  <conditionalFormatting sqref="D166 D169:D171">
    <cfRule type="expression" dxfId="265" priority="263">
      <formula>$C$4="MAXIMA SEGURIDAD"</formula>
    </cfRule>
    <cfRule type="expression" dxfId="264" priority="265">
      <formula>$C$4="URBANA"</formula>
    </cfRule>
  </conditionalFormatting>
  <conditionalFormatting sqref="D166 D171:D174">
    <cfRule type="expression" dxfId="263" priority="264">
      <formula>$C$4="INTRADOMICILIARIA"</formula>
    </cfRule>
  </conditionalFormatting>
  <conditionalFormatting sqref="D173:D174">
    <cfRule type="expression" dxfId="262" priority="262">
      <formula>$C$4="PERIMETRAL"</formula>
    </cfRule>
  </conditionalFormatting>
  <conditionalFormatting sqref="D173:D174">
    <cfRule type="expression" dxfId="261" priority="260">
      <formula>$C$4="MAXIMA SEGURIDAD"</formula>
    </cfRule>
    <cfRule type="expression" dxfId="260" priority="261">
      <formula>$C$4="URBANA"</formula>
    </cfRule>
  </conditionalFormatting>
  <conditionalFormatting sqref="D178:D183">
    <cfRule type="expression" dxfId="259" priority="259">
      <formula>$C$4="PERIMETRAL"</formula>
    </cfRule>
  </conditionalFormatting>
  <conditionalFormatting sqref="D178 D181:D183">
    <cfRule type="expression" dxfId="258" priority="256">
      <formula>$C$4="MAXIMA SEGURIDAD"</formula>
    </cfRule>
    <cfRule type="expression" dxfId="257" priority="258">
      <formula>$C$4="URBANA"</formula>
    </cfRule>
  </conditionalFormatting>
  <conditionalFormatting sqref="D178 D183:D186">
    <cfRule type="expression" dxfId="256" priority="257">
      <formula>$C$4="INTRADOMICILIARIA"</formula>
    </cfRule>
  </conditionalFormatting>
  <conditionalFormatting sqref="D185:D186">
    <cfRule type="expression" dxfId="255" priority="255">
      <formula>$C$4="PERIMETRAL"</formula>
    </cfRule>
  </conditionalFormatting>
  <conditionalFormatting sqref="D185:D186">
    <cfRule type="expression" dxfId="254" priority="253">
      <formula>$C$4="MAXIMA SEGURIDAD"</formula>
    </cfRule>
    <cfRule type="expression" dxfId="253" priority="254">
      <formula>$C$4="URBANA"</formula>
    </cfRule>
  </conditionalFormatting>
  <conditionalFormatting sqref="D190:D195">
    <cfRule type="expression" dxfId="252" priority="252">
      <formula>$C$4="PERIMETRAL"</formula>
    </cfRule>
  </conditionalFormatting>
  <conditionalFormatting sqref="D190 D193:D195">
    <cfRule type="expression" dxfId="251" priority="249">
      <formula>$C$4="MAXIMA SEGURIDAD"</formula>
    </cfRule>
    <cfRule type="expression" dxfId="250" priority="251">
      <formula>$C$4="URBANA"</formula>
    </cfRule>
  </conditionalFormatting>
  <conditionalFormatting sqref="D190 D195:D198">
    <cfRule type="expression" dxfId="249" priority="250">
      <formula>$C$4="INTRADOMICILIARIA"</formula>
    </cfRule>
  </conditionalFormatting>
  <conditionalFormatting sqref="D197:D198">
    <cfRule type="expression" dxfId="248" priority="248">
      <formula>$C$4="PERIMETRAL"</formula>
    </cfRule>
  </conditionalFormatting>
  <conditionalFormatting sqref="D197:D198">
    <cfRule type="expression" dxfId="247" priority="246">
      <formula>$C$4="MAXIMA SEGURIDAD"</formula>
    </cfRule>
    <cfRule type="expression" dxfId="246" priority="247">
      <formula>$C$4="URBANA"</formula>
    </cfRule>
  </conditionalFormatting>
  <conditionalFormatting sqref="D202:D207">
    <cfRule type="expression" dxfId="245" priority="245">
      <formula>$C$4="PERIMETRAL"</formula>
    </cfRule>
  </conditionalFormatting>
  <conditionalFormatting sqref="D202 D205:D207">
    <cfRule type="expression" dxfId="244" priority="242">
      <formula>$C$4="MAXIMA SEGURIDAD"</formula>
    </cfRule>
    <cfRule type="expression" dxfId="243" priority="244">
      <formula>$C$4="URBANA"</formula>
    </cfRule>
  </conditionalFormatting>
  <conditionalFormatting sqref="D202 D207:D210">
    <cfRule type="expression" dxfId="242" priority="243">
      <formula>$C$4="INTRADOMICILIARIA"</formula>
    </cfRule>
  </conditionalFormatting>
  <conditionalFormatting sqref="D209:D210">
    <cfRule type="expression" dxfId="241" priority="241">
      <formula>$C$4="PERIMETRAL"</formula>
    </cfRule>
  </conditionalFormatting>
  <conditionalFormatting sqref="D209:D210">
    <cfRule type="expression" dxfId="240" priority="239">
      <formula>$C$4="MAXIMA SEGURIDAD"</formula>
    </cfRule>
    <cfRule type="expression" dxfId="239" priority="240">
      <formula>$C$4="URBANA"</formula>
    </cfRule>
  </conditionalFormatting>
  <conditionalFormatting sqref="D214:D219">
    <cfRule type="expression" dxfId="238" priority="238">
      <formula>$C$4="PERIMETRAL"</formula>
    </cfRule>
  </conditionalFormatting>
  <conditionalFormatting sqref="D214 D217:D219">
    <cfRule type="expression" dxfId="237" priority="235">
      <formula>$C$4="MAXIMA SEGURIDAD"</formula>
    </cfRule>
    <cfRule type="expression" dxfId="236" priority="237">
      <formula>$C$4="URBANA"</formula>
    </cfRule>
  </conditionalFormatting>
  <conditionalFormatting sqref="D214 D219:D222">
    <cfRule type="expression" dxfId="235" priority="236">
      <formula>$C$4="INTRADOMICILIARIA"</formula>
    </cfRule>
  </conditionalFormatting>
  <conditionalFormatting sqref="D221:D222">
    <cfRule type="expression" dxfId="234" priority="234">
      <formula>$C$4="PERIMETRAL"</formula>
    </cfRule>
  </conditionalFormatting>
  <conditionalFormatting sqref="D221:D222">
    <cfRule type="expression" dxfId="233" priority="232">
      <formula>$C$4="MAXIMA SEGURIDAD"</formula>
    </cfRule>
    <cfRule type="expression" dxfId="232" priority="233">
      <formula>$C$4="URBANA"</formula>
    </cfRule>
  </conditionalFormatting>
  <conditionalFormatting sqref="D226:D231">
    <cfRule type="expression" dxfId="231" priority="231">
      <formula>$C$4="PERIMETRAL"</formula>
    </cfRule>
  </conditionalFormatting>
  <conditionalFormatting sqref="D226 D229:D231">
    <cfRule type="expression" dxfId="230" priority="228">
      <formula>$C$4="MAXIMA SEGURIDAD"</formula>
    </cfRule>
    <cfRule type="expression" dxfId="229" priority="230">
      <formula>$C$4="URBANA"</formula>
    </cfRule>
  </conditionalFormatting>
  <conditionalFormatting sqref="D226 D231:D234">
    <cfRule type="expression" dxfId="228" priority="229">
      <formula>$C$4="INTRADOMICILIARIA"</formula>
    </cfRule>
  </conditionalFormatting>
  <conditionalFormatting sqref="D233:D234">
    <cfRule type="expression" dxfId="227" priority="227">
      <formula>$C$4="PERIMETRAL"</formula>
    </cfRule>
  </conditionalFormatting>
  <conditionalFormatting sqref="D233:D234">
    <cfRule type="expression" dxfId="226" priority="225">
      <formula>$C$4="MAXIMA SEGURIDAD"</formula>
    </cfRule>
    <cfRule type="expression" dxfId="225" priority="226">
      <formula>$C$4="URBANA"</formula>
    </cfRule>
  </conditionalFormatting>
  <conditionalFormatting sqref="D238:D243">
    <cfRule type="expression" dxfId="224" priority="224">
      <formula>$C$4="PERIMETRAL"</formula>
    </cfRule>
  </conditionalFormatting>
  <conditionalFormatting sqref="D238 D241:D243">
    <cfRule type="expression" dxfId="223" priority="221">
      <formula>$C$4="MAXIMA SEGURIDAD"</formula>
    </cfRule>
    <cfRule type="expression" dxfId="222" priority="223">
      <formula>$C$4="URBANA"</formula>
    </cfRule>
  </conditionalFormatting>
  <conditionalFormatting sqref="D238 D243:D246">
    <cfRule type="expression" dxfId="221" priority="222">
      <formula>$C$4="INTRADOMICILIARIA"</formula>
    </cfRule>
  </conditionalFormatting>
  <conditionalFormatting sqref="D245:D246">
    <cfRule type="expression" dxfId="220" priority="220">
      <formula>$C$4="PERIMETRAL"</formula>
    </cfRule>
  </conditionalFormatting>
  <conditionalFormatting sqref="D245:D246">
    <cfRule type="expression" dxfId="219" priority="218">
      <formula>$C$4="MAXIMA SEGURIDAD"</formula>
    </cfRule>
    <cfRule type="expression" dxfId="218" priority="219">
      <formula>$C$4="URBANA"</formula>
    </cfRule>
  </conditionalFormatting>
  <conditionalFormatting sqref="D250:D255">
    <cfRule type="expression" dxfId="217" priority="217">
      <formula>$C$4="PERIMETRAL"</formula>
    </cfRule>
  </conditionalFormatting>
  <conditionalFormatting sqref="D250 D253:D255">
    <cfRule type="expression" dxfId="216" priority="214">
      <formula>$C$4="MAXIMA SEGURIDAD"</formula>
    </cfRule>
    <cfRule type="expression" dxfId="215" priority="216">
      <formula>$C$4="URBANA"</formula>
    </cfRule>
  </conditionalFormatting>
  <conditionalFormatting sqref="D250 D255:D258">
    <cfRule type="expression" dxfId="214" priority="215">
      <formula>$C$4="INTRADOMICILIARIA"</formula>
    </cfRule>
  </conditionalFormatting>
  <conditionalFormatting sqref="D257:D258">
    <cfRule type="expression" dxfId="213" priority="213">
      <formula>$C$4="PERIMETRAL"</formula>
    </cfRule>
  </conditionalFormatting>
  <conditionalFormatting sqref="D257:D258">
    <cfRule type="expression" dxfId="212" priority="211">
      <formula>$C$4="MAXIMA SEGURIDAD"</formula>
    </cfRule>
    <cfRule type="expression" dxfId="211" priority="212">
      <formula>$C$4="URBANA"</formula>
    </cfRule>
  </conditionalFormatting>
  <conditionalFormatting sqref="D262:D267">
    <cfRule type="expression" dxfId="210" priority="210">
      <formula>$C$4="PERIMETRAL"</formula>
    </cfRule>
  </conditionalFormatting>
  <conditionalFormatting sqref="D262 D265:D267">
    <cfRule type="expression" dxfId="209" priority="207">
      <formula>$C$4="MAXIMA SEGURIDAD"</formula>
    </cfRule>
    <cfRule type="expression" dxfId="208" priority="209">
      <formula>$C$4="URBANA"</formula>
    </cfRule>
  </conditionalFormatting>
  <conditionalFormatting sqref="D262 D267:D270">
    <cfRule type="expression" dxfId="207" priority="208">
      <formula>$C$4="INTRADOMICILIARIA"</formula>
    </cfRule>
  </conditionalFormatting>
  <conditionalFormatting sqref="D269:D270">
    <cfRule type="expression" dxfId="206" priority="206">
      <formula>$C$4="PERIMETRAL"</formula>
    </cfRule>
  </conditionalFormatting>
  <conditionalFormatting sqref="D269:D270">
    <cfRule type="expression" dxfId="205" priority="204">
      <formula>$C$4="MAXIMA SEGURIDAD"</formula>
    </cfRule>
    <cfRule type="expression" dxfId="204" priority="205">
      <formula>$C$4="URBANA"</formula>
    </cfRule>
  </conditionalFormatting>
  <conditionalFormatting sqref="D274:D279">
    <cfRule type="expression" dxfId="203" priority="203">
      <formula>$C$4="PERIMETRAL"</formula>
    </cfRule>
  </conditionalFormatting>
  <conditionalFormatting sqref="D274 D277:D279">
    <cfRule type="expression" dxfId="202" priority="200">
      <formula>$C$4="MAXIMA SEGURIDAD"</formula>
    </cfRule>
    <cfRule type="expression" dxfId="201" priority="202">
      <formula>$C$4="URBANA"</formula>
    </cfRule>
  </conditionalFormatting>
  <conditionalFormatting sqref="D274 D279:D282">
    <cfRule type="expression" dxfId="200" priority="201">
      <formula>$C$4="INTRADOMICILIARIA"</formula>
    </cfRule>
  </conditionalFormatting>
  <conditionalFormatting sqref="D281:D282">
    <cfRule type="expression" dxfId="199" priority="199">
      <formula>$C$4="PERIMETRAL"</formula>
    </cfRule>
  </conditionalFormatting>
  <conditionalFormatting sqref="D281:D282">
    <cfRule type="expression" dxfId="198" priority="197">
      <formula>$C$4="MAXIMA SEGURIDAD"</formula>
    </cfRule>
    <cfRule type="expression" dxfId="197" priority="198">
      <formula>$C$4="URBANA"</formula>
    </cfRule>
  </conditionalFormatting>
  <conditionalFormatting sqref="D286:D291">
    <cfRule type="expression" dxfId="196" priority="196">
      <formula>$C$4="PERIMETRAL"</formula>
    </cfRule>
  </conditionalFormatting>
  <conditionalFormatting sqref="D286 D289:D291">
    <cfRule type="expression" dxfId="195" priority="193">
      <formula>$C$4="MAXIMA SEGURIDAD"</formula>
    </cfRule>
    <cfRule type="expression" dxfId="194" priority="195">
      <formula>$C$4="URBANA"</formula>
    </cfRule>
  </conditionalFormatting>
  <conditionalFormatting sqref="D286 D291:D294">
    <cfRule type="expression" dxfId="193" priority="194">
      <formula>$C$4="INTRADOMICILIARIA"</formula>
    </cfRule>
  </conditionalFormatting>
  <conditionalFormatting sqref="D293:D294">
    <cfRule type="expression" dxfId="192" priority="192">
      <formula>$C$4="PERIMETRAL"</formula>
    </cfRule>
  </conditionalFormatting>
  <conditionalFormatting sqref="D293:D294">
    <cfRule type="expression" dxfId="191" priority="190">
      <formula>$C$4="MAXIMA SEGURIDAD"</formula>
    </cfRule>
    <cfRule type="expression" dxfId="190" priority="191">
      <formula>$C$4="URBANA"</formula>
    </cfRule>
  </conditionalFormatting>
  <conditionalFormatting sqref="D298:D303">
    <cfRule type="expression" dxfId="189" priority="189">
      <formula>$C$4="PERIMETRAL"</formula>
    </cfRule>
  </conditionalFormatting>
  <conditionalFormatting sqref="D298 D301:D303">
    <cfRule type="expression" dxfId="188" priority="186">
      <formula>$C$4="MAXIMA SEGURIDAD"</formula>
    </cfRule>
    <cfRule type="expression" dxfId="187" priority="188">
      <formula>$C$4="URBANA"</formula>
    </cfRule>
  </conditionalFormatting>
  <conditionalFormatting sqref="D298 D303:D306">
    <cfRule type="expression" dxfId="186" priority="187">
      <formula>$C$4="INTRADOMICILIARIA"</formula>
    </cfRule>
  </conditionalFormatting>
  <conditionalFormatting sqref="D305:D306">
    <cfRule type="expression" dxfId="185" priority="185">
      <formula>$C$4="PERIMETRAL"</formula>
    </cfRule>
  </conditionalFormatting>
  <conditionalFormatting sqref="D305:D306">
    <cfRule type="expression" dxfId="184" priority="183">
      <formula>$C$4="MAXIMA SEGURIDAD"</formula>
    </cfRule>
    <cfRule type="expression" dxfId="183" priority="184">
      <formula>$C$4="URBANA"</formula>
    </cfRule>
  </conditionalFormatting>
  <conditionalFormatting sqref="D310:D315">
    <cfRule type="expression" dxfId="182" priority="182">
      <formula>$C$4="PERIMETRAL"</formula>
    </cfRule>
  </conditionalFormatting>
  <conditionalFormatting sqref="D310 D313:D315">
    <cfRule type="expression" dxfId="181" priority="179">
      <formula>$C$4="MAXIMA SEGURIDAD"</formula>
    </cfRule>
    <cfRule type="expression" dxfId="180" priority="181">
      <formula>$C$4="URBANA"</formula>
    </cfRule>
  </conditionalFormatting>
  <conditionalFormatting sqref="D310 D315:D318">
    <cfRule type="expression" dxfId="179" priority="180">
      <formula>$C$4="INTRADOMICILIARIA"</formula>
    </cfRule>
  </conditionalFormatting>
  <conditionalFormatting sqref="D317:D318">
    <cfRule type="expression" dxfId="178" priority="178">
      <formula>$C$4="PERIMETRAL"</formula>
    </cfRule>
  </conditionalFormatting>
  <conditionalFormatting sqref="D317:D318">
    <cfRule type="expression" dxfId="177" priority="176">
      <formula>$C$4="MAXIMA SEGURIDAD"</formula>
    </cfRule>
    <cfRule type="expression" dxfId="176" priority="177">
      <formula>$C$4="URBANA"</formula>
    </cfRule>
  </conditionalFormatting>
  <conditionalFormatting sqref="D322:D327">
    <cfRule type="expression" dxfId="175" priority="175">
      <formula>$C$4="PERIMETRAL"</formula>
    </cfRule>
  </conditionalFormatting>
  <conditionalFormatting sqref="D322 D325:D327">
    <cfRule type="expression" dxfId="174" priority="172">
      <formula>$C$4="MAXIMA SEGURIDAD"</formula>
    </cfRule>
    <cfRule type="expression" dxfId="173" priority="174">
      <formula>$C$4="URBANA"</formula>
    </cfRule>
  </conditionalFormatting>
  <conditionalFormatting sqref="D322 D327:D330">
    <cfRule type="expression" dxfId="172" priority="173">
      <formula>$C$4="INTRADOMICILIARIA"</formula>
    </cfRule>
  </conditionalFormatting>
  <conditionalFormatting sqref="D329:D330">
    <cfRule type="expression" dxfId="171" priority="171">
      <formula>$C$4="PERIMETRAL"</formula>
    </cfRule>
  </conditionalFormatting>
  <conditionalFormatting sqref="D329:D330">
    <cfRule type="expression" dxfId="170" priority="169">
      <formula>$C$4="MAXIMA SEGURIDAD"</formula>
    </cfRule>
    <cfRule type="expression" dxfId="169" priority="170">
      <formula>$C$4="URBANA"</formula>
    </cfRule>
  </conditionalFormatting>
  <conditionalFormatting sqref="D334:D339">
    <cfRule type="expression" dxfId="168" priority="168">
      <formula>$C$4="PERIMETRAL"</formula>
    </cfRule>
  </conditionalFormatting>
  <conditionalFormatting sqref="D334 D337:D339">
    <cfRule type="expression" dxfId="167" priority="165">
      <formula>$C$4="MAXIMA SEGURIDAD"</formula>
    </cfRule>
    <cfRule type="expression" dxfId="166" priority="167">
      <formula>$C$4="URBANA"</formula>
    </cfRule>
  </conditionalFormatting>
  <conditionalFormatting sqref="D334 D339:D342">
    <cfRule type="expression" dxfId="165" priority="166">
      <formula>$C$4="INTRADOMICILIARIA"</formula>
    </cfRule>
  </conditionalFormatting>
  <conditionalFormatting sqref="D341:D342">
    <cfRule type="expression" dxfId="164" priority="164">
      <formula>$C$4="PERIMETRAL"</formula>
    </cfRule>
  </conditionalFormatting>
  <conditionalFormatting sqref="D341:D342">
    <cfRule type="expression" dxfId="163" priority="162">
      <formula>$C$4="MAXIMA SEGURIDAD"</formula>
    </cfRule>
    <cfRule type="expression" dxfId="162" priority="163">
      <formula>$C$4="URBANA"</formula>
    </cfRule>
  </conditionalFormatting>
  <conditionalFormatting sqref="D346:D351">
    <cfRule type="expression" dxfId="161" priority="161">
      <formula>$C$4="PERIMETRAL"</formula>
    </cfRule>
  </conditionalFormatting>
  <conditionalFormatting sqref="D346 D349:D351">
    <cfRule type="expression" dxfId="160" priority="158">
      <formula>$C$4="MAXIMA SEGURIDAD"</formula>
    </cfRule>
    <cfRule type="expression" dxfId="159" priority="160">
      <formula>$C$4="URBANA"</formula>
    </cfRule>
  </conditionalFormatting>
  <conditionalFormatting sqref="D346 D351:D354">
    <cfRule type="expression" dxfId="158" priority="159">
      <formula>$C$4="INTRADOMICILIARIA"</formula>
    </cfRule>
  </conditionalFormatting>
  <conditionalFormatting sqref="D353:D354">
    <cfRule type="expression" dxfId="157" priority="157">
      <formula>$C$4="PERIMETRAL"</formula>
    </cfRule>
  </conditionalFormatting>
  <conditionalFormatting sqref="D353:D354">
    <cfRule type="expression" dxfId="156" priority="155">
      <formula>$C$4="MAXIMA SEGURIDAD"</formula>
    </cfRule>
    <cfRule type="expression" dxfId="155" priority="156">
      <formula>$C$4="URBANA"</formula>
    </cfRule>
  </conditionalFormatting>
  <conditionalFormatting sqref="D358:D363">
    <cfRule type="expression" dxfId="154" priority="154">
      <formula>$C$4="PERIMETRAL"</formula>
    </cfRule>
  </conditionalFormatting>
  <conditionalFormatting sqref="D358 D361:D363">
    <cfRule type="expression" dxfId="153" priority="151">
      <formula>$C$4="MAXIMA SEGURIDAD"</formula>
    </cfRule>
    <cfRule type="expression" dxfId="152" priority="153">
      <formula>$C$4="URBANA"</formula>
    </cfRule>
  </conditionalFormatting>
  <conditionalFormatting sqref="D358 D363:D366">
    <cfRule type="expression" dxfId="151" priority="152">
      <formula>$C$4="INTRADOMICILIARIA"</formula>
    </cfRule>
  </conditionalFormatting>
  <conditionalFormatting sqref="D365:D366">
    <cfRule type="expression" dxfId="150" priority="150">
      <formula>$C$4="PERIMETRAL"</formula>
    </cfRule>
  </conditionalFormatting>
  <conditionalFormatting sqref="D365:D366">
    <cfRule type="expression" dxfId="149" priority="148">
      <formula>$C$4="MAXIMA SEGURIDAD"</formula>
    </cfRule>
    <cfRule type="expression" dxfId="148" priority="149">
      <formula>$C$4="URBANA"</formula>
    </cfRule>
  </conditionalFormatting>
  <conditionalFormatting sqref="D370:D375">
    <cfRule type="expression" dxfId="147" priority="147">
      <formula>$C$4="PERIMETRAL"</formula>
    </cfRule>
  </conditionalFormatting>
  <conditionalFormatting sqref="D370 D373:D375">
    <cfRule type="expression" dxfId="146" priority="144">
      <formula>$C$4="MAXIMA SEGURIDAD"</formula>
    </cfRule>
    <cfRule type="expression" dxfId="145" priority="146">
      <formula>$C$4="URBANA"</formula>
    </cfRule>
  </conditionalFormatting>
  <conditionalFormatting sqref="D370 D375:D378">
    <cfRule type="expression" dxfId="144" priority="145">
      <formula>$C$4="INTRADOMICILIARIA"</formula>
    </cfRule>
  </conditionalFormatting>
  <conditionalFormatting sqref="D377:D378">
    <cfRule type="expression" dxfId="143" priority="143">
      <formula>$C$4="PERIMETRAL"</formula>
    </cfRule>
  </conditionalFormatting>
  <conditionalFormatting sqref="D377:D378">
    <cfRule type="expression" dxfId="142" priority="141">
      <formula>$C$4="MAXIMA SEGURIDAD"</formula>
    </cfRule>
    <cfRule type="expression" dxfId="141" priority="142">
      <formula>$C$4="URBANA"</formula>
    </cfRule>
  </conditionalFormatting>
  <conditionalFormatting sqref="D382:D387">
    <cfRule type="expression" dxfId="140" priority="140">
      <formula>$C$4="PERIMETRAL"</formula>
    </cfRule>
  </conditionalFormatting>
  <conditionalFormatting sqref="D382 D385:D387">
    <cfRule type="expression" dxfId="139" priority="137">
      <formula>$C$4="MAXIMA SEGURIDAD"</formula>
    </cfRule>
    <cfRule type="expression" dxfId="138" priority="139">
      <formula>$C$4="URBANA"</formula>
    </cfRule>
  </conditionalFormatting>
  <conditionalFormatting sqref="D382 D387:D390">
    <cfRule type="expression" dxfId="137" priority="138">
      <formula>$C$4="INTRADOMICILIARIA"</formula>
    </cfRule>
  </conditionalFormatting>
  <conditionalFormatting sqref="D389:D390">
    <cfRule type="expression" dxfId="136" priority="136">
      <formula>$C$4="PERIMETRAL"</formula>
    </cfRule>
  </conditionalFormatting>
  <conditionalFormatting sqref="D389:D390">
    <cfRule type="expression" dxfId="135" priority="134">
      <formula>$C$4="MAXIMA SEGURIDAD"</formula>
    </cfRule>
    <cfRule type="expression" dxfId="134" priority="135">
      <formula>$C$4="URBANA"</formula>
    </cfRule>
  </conditionalFormatting>
  <conditionalFormatting sqref="D394:D399">
    <cfRule type="expression" dxfId="133" priority="133">
      <formula>$C$4="PERIMETRAL"</formula>
    </cfRule>
  </conditionalFormatting>
  <conditionalFormatting sqref="D394 D397:D399">
    <cfRule type="expression" dxfId="132" priority="130">
      <formula>$C$4="MAXIMA SEGURIDAD"</formula>
    </cfRule>
    <cfRule type="expression" dxfId="131" priority="132">
      <formula>$C$4="URBANA"</formula>
    </cfRule>
  </conditionalFormatting>
  <conditionalFormatting sqref="D394 D399:D402">
    <cfRule type="expression" dxfId="130" priority="131">
      <formula>$C$4="INTRADOMICILIARIA"</formula>
    </cfRule>
  </conditionalFormatting>
  <conditionalFormatting sqref="D401:D402">
    <cfRule type="expression" dxfId="129" priority="129">
      <formula>$C$4="PERIMETRAL"</formula>
    </cfRule>
  </conditionalFormatting>
  <conditionalFormatting sqref="D401:D402">
    <cfRule type="expression" dxfId="128" priority="127">
      <formula>$C$4="MAXIMA SEGURIDAD"</formula>
    </cfRule>
    <cfRule type="expression" dxfId="127" priority="128">
      <formula>$C$4="URBANA"</formula>
    </cfRule>
  </conditionalFormatting>
  <conditionalFormatting sqref="D406:D411">
    <cfRule type="expression" dxfId="126" priority="126">
      <formula>$C$4="PERIMETRAL"</formula>
    </cfRule>
  </conditionalFormatting>
  <conditionalFormatting sqref="D406 D409:D411">
    <cfRule type="expression" dxfId="125" priority="123">
      <formula>$C$4="MAXIMA SEGURIDAD"</formula>
    </cfRule>
    <cfRule type="expression" dxfId="124" priority="125">
      <formula>$C$4="URBANA"</formula>
    </cfRule>
  </conditionalFormatting>
  <conditionalFormatting sqref="D406 D411:D414">
    <cfRule type="expression" dxfId="123" priority="124">
      <formula>$C$4="INTRADOMICILIARIA"</formula>
    </cfRule>
  </conditionalFormatting>
  <conditionalFormatting sqref="D413:D414">
    <cfRule type="expression" dxfId="122" priority="122">
      <formula>$C$4="PERIMETRAL"</formula>
    </cfRule>
  </conditionalFormatting>
  <conditionalFormatting sqref="D413:D414">
    <cfRule type="expression" dxfId="121" priority="120">
      <formula>$C$4="MAXIMA SEGURIDAD"</formula>
    </cfRule>
    <cfRule type="expression" dxfId="120" priority="121">
      <formula>$C$4="URBANA"</formula>
    </cfRule>
  </conditionalFormatting>
  <conditionalFormatting sqref="D418:D423">
    <cfRule type="expression" dxfId="119" priority="119">
      <formula>$C$4="PERIMETRAL"</formula>
    </cfRule>
  </conditionalFormatting>
  <conditionalFormatting sqref="D418 D421:D423">
    <cfRule type="expression" dxfId="118" priority="116">
      <formula>$C$4="MAXIMA SEGURIDAD"</formula>
    </cfRule>
    <cfRule type="expression" dxfId="117" priority="118">
      <formula>$C$4="URBANA"</formula>
    </cfRule>
  </conditionalFormatting>
  <conditionalFormatting sqref="D418 D423:D426">
    <cfRule type="expression" dxfId="116" priority="117">
      <formula>$C$4="INTRADOMICILIARIA"</formula>
    </cfRule>
  </conditionalFormatting>
  <conditionalFormatting sqref="D425:D426">
    <cfRule type="expression" dxfId="115" priority="115">
      <formula>$C$4="PERIMETRAL"</formula>
    </cfRule>
  </conditionalFormatting>
  <conditionalFormatting sqref="D425:D426">
    <cfRule type="expression" dxfId="114" priority="113">
      <formula>$C$4="MAXIMA SEGURIDAD"</formula>
    </cfRule>
    <cfRule type="expression" dxfId="113" priority="114">
      <formula>$C$4="URBANA"</formula>
    </cfRule>
  </conditionalFormatting>
  <conditionalFormatting sqref="D430:D435">
    <cfRule type="expression" dxfId="112" priority="112">
      <formula>$C$4="PERIMETRAL"</formula>
    </cfRule>
  </conditionalFormatting>
  <conditionalFormatting sqref="D430 D433:D435">
    <cfRule type="expression" dxfId="111" priority="109">
      <formula>$C$4="MAXIMA SEGURIDAD"</formula>
    </cfRule>
    <cfRule type="expression" dxfId="110" priority="111">
      <formula>$C$4="URBANA"</formula>
    </cfRule>
  </conditionalFormatting>
  <conditionalFormatting sqref="D430 D435:D438">
    <cfRule type="expression" dxfId="109" priority="110">
      <formula>$C$4="INTRADOMICILIARIA"</formula>
    </cfRule>
  </conditionalFormatting>
  <conditionalFormatting sqref="D437:D438">
    <cfRule type="expression" dxfId="108" priority="108">
      <formula>$C$4="PERIMETRAL"</formula>
    </cfRule>
  </conditionalFormatting>
  <conditionalFormatting sqref="D437:D438">
    <cfRule type="expression" dxfId="107" priority="106">
      <formula>$C$4="MAXIMA SEGURIDAD"</formula>
    </cfRule>
    <cfRule type="expression" dxfId="106" priority="107">
      <formula>$C$4="URBANA"</formula>
    </cfRule>
  </conditionalFormatting>
  <conditionalFormatting sqref="D442:D447">
    <cfRule type="expression" dxfId="105" priority="105">
      <formula>$C$4="PERIMETRAL"</formula>
    </cfRule>
  </conditionalFormatting>
  <conditionalFormatting sqref="D442 D445:D447">
    <cfRule type="expression" dxfId="104" priority="102">
      <formula>$C$4="MAXIMA SEGURIDAD"</formula>
    </cfRule>
    <cfRule type="expression" dxfId="103" priority="104">
      <formula>$C$4="URBANA"</formula>
    </cfRule>
  </conditionalFormatting>
  <conditionalFormatting sqref="D442 D447:D450">
    <cfRule type="expression" dxfId="102" priority="103">
      <formula>$C$4="INTRADOMICILIARIA"</formula>
    </cfRule>
  </conditionalFormatting>
  <conditionalFormatting sqref="D449:D450">
    <cfRule type="expression" dxfId="101" priority="101">
      <formula>$C$4="PERIMETRAL"</formula>
    </cfRule>
  </conditionalFormatting>
  <conditionalFormatting sqref="D449:D450">
    <cfRule type="expression" dxfId="100" priority="99">
      <formula>$C$4="MAXIMA SEGURIDAD"</formula>
    </cfRule>
    <cfRule type="expression" dxfId="99" priority="100">
      <formula>$C$4="URBANA"</formula>
    </cfRule>
  </conditionalFormatting>
  <conditionalFormatting sqref="D454:D459">
    <cfRule type="expression" dxfId="98" priority="98">
      <formula>$C$4="PERIMETRAL"</formula>
    </cfRule>
  </conditionalFormatting>
  <conditionalFormatting sqref="D454 D457:D459">
    <cfRule type="expression" dxfId="97" priority="95">
      <formula>$C$4="MAXIMA SEGURIDAD"</formula>
    </cfRule>
    <cfRule type="expression" dxfId="96" priority="97">
      <formula>$C$4="URBANA"</formula>
    </cfRule>
  </conditionalFormatting>
  <conditionalFormatting sqref="D454 D459:D462">
    <cfRule type="expression" dxfId="95" priority="96">
      <formula>$C$4="INTRADOMICILIARIA"</formula>
    </cfRule>
  </conditionalFormatting>
  <conditionalFormatting sqref="D461:D462">
    <cfRule type="expression" dxfId="94" priority="94">
      <formula>$C$4="PERIMETRAL"</formula>
    </cfRule>
  </conditionalFormatting>
  <conditionalFormatting sqref="D461:D462">
    <cfRule type="expression" dxfId="93" priority="92">
      <formula>$C$4="MAXIMA SEGURIDAD"</formula>
    </cfRule>
    <cfRule type="expression" dxfId="92" priority="93">
      <formula>$C$4="URBANA"</formula>
    </cfRule>
  </conditionalFormatting>
  <conditionalFormatting sqref="D466:D471">
    <cfRule type="expression" dxfId="91" priority="91">
      <formula>$C$4="PERIMETRAL"</formula>
    </cfRule>
  </conditionalFormatting>
  <conditionalFormatting sqref="D466 D469:D471">
    <cfRule type="expression" dxfId="90" priority="88">
      <formula>$C$4="MAXIMA SEGURIDAD"</formula>
    </cfRule>
    <cfRule type="expression" dxfId="89" priority="90">
      <formula>$C$4="URBANA"</formula>
    </cfRule>
  </conditionalFormatting>
  <conditionalFormatting sqref="D466 D471:D474">
    <cfRule type="expression" dxfId="88" priority="89">
      <formula>$C$4="INTRADOMICILIARIA"</formula>
    </cfRule>
  </conditionalFormatting>
  <conditionalFormatting sqref="D473:D474">
    <cfRule type="expression" dxfId="87" priority="87">
      <formula>$C$4="PERIMETRAL"</formula>
    </cfRule>
  </conditionalFormatting>
  <conditionalFormatting sqref="D473:D474">
    <cfRule type="expression" dxfId="86" priority="85">
      <formula>$C$4="MAXIMA SEGURIDAD"</formula>
    </cfRule>
    <cfRule type="expression" dxfId="85" priority="86">
      <formula>$C$4="URBANA"</formula>
    </cfRule>
  </conditionalFormatting>
  <conditionalFormatting sqref="D478:D483">
    <cfRule type="expression" dxfId="84" priority="84">
      <formula>$C$4="PERIMETRAL"</formula>
    </cfRule>
  </conditionalFormatting>
  <conditionalFormatting sqref="D478 D481:D483">
    <cfRule type="expression" dxfId="83" priority="81">
      <formula>$C$4="MAXIMA SEGURIDAD"</formula>
    </cfRule>
    <cfRule type="expression" dxfId="82" priority="83">
      <formula>$C$4="URBANA"</formula>
    </cfRule>
  </conditionalFormatting>
  <conditionalFormatting sqref="D478 D483:D486">
    <cfRule type="expression" dxfId="81" priority="82">
      <formula>$C$4="INTRADOMICILIARIA"</formula>
    </cfRule>
  </conditionalFormatting>
  <conditionalFormatting sqref="D485:D486">
    <cfRule type="expression" dxfId="80" priority="80">
      <formula>$C$4="PERIMETRAL"</formula>
    </cfRule>
  </conditionalFormatting>
  <conditionalFormatting sqref="D485:D486">
    <cfRule type="expression" dxfId="79" priority="78">
      <formula>$C$4="MAXIMA SEGURIDAD"</formula>
    </cfRule>
    <cfRule type="expression" dxfId="78" priority="79">
      <formula>$C$4="URBANA"</formula>
    </cfRule>
  </conditionalFormatting>
  <conditionalFormatting sqref="D490:D495">
    <cfRule type="expression" dxfId="77" priority="77">
      <formula>$C$4="PERIMETRAL"</formula>
    </cfRule>
  </conditionalFormatting>
  <conditionalFormatting sqref="D490 D493:D495">
    <cfRule type="expression" dxfId="76" priority="74">
      <formula>$C$4="MAXIMA SEGURIDAD"</formula>
    </cfRule>
    <cfRule type="expression" dxfId="75" priority="76">
      <formula>$C$4="URBANA"</formula>
    </cfRule>
  </conditionalFormatting>
  <conditionalFormatting sqref="D490 D495:D498">
    <cfRule type="expression" dxfId="74" priority="75">
      <formula>$C$4="INTRADOMICILIARIA"</formula>
    </cfRule>
  </conditionalFormatting>
  <conditionalFormatting sqref="D497:D498">
    <cfRule type="expression" dxfId="73" priority="73">
      <formula>$C$4="PERIMETRAL"</formula>
    </cfRule>
  </conditionalFormatting>
  <conditionalFormatting sqref="D497:D498">
    <cfRule type="expression" dxfId="72" priority="71">
      <formula>$C$4="MAXIMA SEGURIDAD"</formula>
    </cfRule>
    <cfRule type="expression" dxfId="71" priority="72">
      <formula>$C$4="URBANA"</formula>
    </cfRule>
  </conditionalFormatting>
  <conditionalFormatting sqref="D502:D507">
    <cfRule type="expression" dxfId="70" priority="70">
      <formula>$C$4="PERIMETRAL"</formula>
    </cfRule>
  </conditionalFormatting>
  <conditionalFormatting sqref="D502 D505:D507">
    <cfRule type="expression" dxfId="69" priority="67">
      <formula>$C$4="MAXIMA SEGURIDAD"</formula>
    </cfRule>
    <cfRule type="expression" dxfId="68" priority="69">
      <formula>$C$4="URBANA"</formula>
    </cfRule>
  </conditionalFormatting>
  <conditionalFormatting sqref="D502 D507:D510">
    <cfRule type="expression" dxfId="67" priority="68">
      <formula>$C$4="INTRADOMICILIARIA"</formula>
    </cfRule>
  </conditionalFormatting>
  <conditionalFormatting sqref="D509:D510">
    <cfRule type="expression" dxfId="66" priority="66">
      <formula>$C$4="PERIMETRAL"</formula>
    </cfRule>
  </conditionalFormatting>
  <conditionalFormatting sqref="D509:D510">
    <cfRule type="expression" dxfId="65" priority="64">
      <formula>$C$4="MAXIMA SEGURIDAD"</formula>
    </cfRule>
    <cfRule type="expression" dxfId="64" priority="65">
      <formula>$C$4="URBANA"</formula>
    </cfRule>
  </conditionalFormatting>
  <conditionalFormatting sqref="D514:D519">
    <cfRule type="expression" dxfId="63" priority="63">
      <formula>$C$4="PERIMETRAL"</formula>
    </cfRule>
  </conditionalFormatting>
  <conditionalFormatting sqref="D514 D517:D519">
    <cfRule type="expression" dxfId="62" priority="60">
      <formula>$C$4="MAXIMA SEGURIDAD"</formula>
    </cfRule>
    <cfRule type="expression" dxfId="61" priority="62">
      <formula>$C$4="URBANA"</formula>
    </cfRule>
  </conditionalFormatting>
  <conditionalFormatting sqref="D514 D519:D522">
    <cfRule type="expression" dxfId="60" priority="61">
      <formula>$C$4="INTRADOMICILIARIA"</formula>
    </cfRule>
  </conditionalFormatting>
  <conditionalFormatting sqref="D521:D522">
    <cfRule type="expression" dxfId="59" priority="59">
      <formula>$C$4="PERIMETRAL"</formula>
    </cfRule>
  </conditionalFormatting>
  <conditionalFormatting sqref="D521:D522">
    <cfRule type="expression" dxfId="58" priority="57">
      <formula>$C$4="MAXIMA SEGURIDAD"</formula>
    </cfRule>
    <cfRule type="expression" dxfId="57" priority="58">
      <formula>$C$4="URBANA"</formula>
    </cfRule>
  </conditionalFormatting>
  <conditionalFormatting sqref="D526:D531">
    <cfRule type="expression" dxfId="56" priority="56">
      <formula>$C$4="PERIMETRAL"</formula>
    </cfRule>
  </conditionalFormatting>
  <conditionalFormatting sqref="D526 D529:D531">
    <cfRule type="expression" dxfId="55" priority="53">
      <formula>$C$4="MAXIMA SEGURIDAD"</formula>
    </cfRule>
    <cfRule type="expression" dxfId="54" priority="55">
      <formula>$C$4="URBANA"</formula>
    </cfRule>
  </conditionalFormatting>
  <conditionalFormatting sqref="D526 D531:D534">
    <cfRule type="expression" dxfId="53" priority="54">
      <formula>$C$4="INTRADOMICILIARIA"</formula>
    </cfRule>
  </conditionalFormatting>
  <conditionalFormatting sqref="D533:D534">
    <cfRule type="expression" dxfId="52" priority="52">
      <formula>$C$4="PERIMETRAL"</formula>
    </cfRule>
  </conditionalFormatting>
  <conditionalFormatting sqref="D533:D534">
    <cfRule type="expression" dxfId="51" priority="50">
      <formula>$C$4="MAXIMA SEGURIDAD"</formula>
    </cfRule>
    <cfRule type="expression" dxfId="50" priority="51">
      <formula>$C$4="URBANA"</formula>
    </cfRule>
  </conditionalFormatting>
  <conditionalFormatting sqref="D538:D543">
    <cfRule type="expression" dxfId="49" priority="49">
      <formula>$C$4="PERIMETRAL"</formula>
    </cfRule>
  </conditionalFormatting>
  <conditionalFormatting sqref="D538 D541:D543">
    <cfRule type="expression" dxfId="48" priority="46">
      <formula>$C$4="MAXIMA SEGURIDAD"</formula>
    </cfRule>
    <cfRule type="expression" dxfId="47" priority="48">
      <formula>$C$4="URBANA"</formula>
    </cfRule>
  </conditionalFormatting>
  <conditionalFormatting sqref="D538 D543:D546">
    <cfRule type="expression" dxfId="46" priority="47">
      <formula>$C$4="INTRADOMICILIARIA"</formula>
    </cfRule>
  </conditionalFormatting>
  <conditionalFormatting sqref="D545:D546">
    <cfRule type="expression" dxfId="45" priority="45">
      <formula>$C$4="PERIMETRAL"</formula>
    </cfRule>
  </conditionalFormatting>
  <conditionalFormatting sqref="D545:D546">
    <cfRule type="expression" dxfId="44" priority="43">
      <formula>$C$4="MAXIMA SEGURIDAD"</formula>
    </cfRule>
    <cfRule type="expression" dxfId="43" priority="44">
      <formula>$C$4="URBANA"</formula>
    </cfRule>
  </conditionalFormatting>
  <conditionalFormatting sqref="D550:D555">
    <cfRule type="expression" dxfId="42" priority="42">
      <formula>$C$4="PERIMETRAL"</formula>
    </cfRule>
  </conditionalFormatting>
  <conditionalFormatting sqref="D550 D553:D555">
    <cfRule type="expression" dxfId="41" priority="39">
      <formula>$C$4="MAXIMA SEGURIDAD"</formula>
    </cfRule>
    <cfRule type="expression" dxfId="40" priority="41">
      <formula>$C$4="URBANA"</formula>
    </cfRule>
  </conditionalFormatting>
  <conditionalFormatting sqref="D550 D555:D558">
    <cfRule type="expression" dxfId="39" priority="40">
      <formula>$C$4="INTRADOMICILIARIA"</formula>
    </cfRule>
  </conditionalFormatting>
  <conditionalFormatting sqref="D557:D558">
    <cfRule type="expression" dxfId="38" priority="38">
      <formula>$C$4="PERIMETRAL"</formula>
    </cfRule>
  </conditionalFormatting>
  <conditionalFormatting sqref="D557:D558">
    <cfRule type="expression" dxfId="37" priority="36">
      <formula>$C$4="MAXIMA SEGURIDAD"</formula>
    </cfRule>
    <cfRule type="expression" dxfId="36" priority="37">
      <formula>$C$4="URBANA"</formula>
    </cfRule>
  </conditionalFormatting>
  <conditionalFormatting sqref="D562:D567">
    <cfRule type="expression" dxfId="35" priority="35">
      <formula>$C$4="PERIMETRAL"</formula>
    </cfRule>
  </conditionalFormatting>
  <conditionalFormatting sqref="D562 D565:D567">
    <cfRule type="expression" dxfId="34" priority="32">
      <formula>$C$4="MAXIMA SEGURIDAD"</formula>
    </cfRule>
    <cfRule type="expression" dxfId="33" priority="34">
      <formula>$C$4="URBANA"</formula>
    </cfRule>
  </conditionalFormatting>
  <conditionalFormatting sqref="D562 D567:D570">
    <cfRule type="expression" dxfId="32" priority="33">
      <formula>$C$4="INTRADOMICILIARIA"</formula>
    </cfRule>
  </conditionalFormatting>
  <conditionalFormatting sqref="D569:D570">
    <cfRule type="expression" dxfId="31" priority="31">
      <formula>$C$4="PERIMETRAL"</formula>
    </cfRule>
  </conditionalFormatting>
  <conditionalFormatting sqref="D569:D570">
    <cfRule type="expression" dxfId="30" priority="29">
      <formula>$C$4="MAXIMA SEGURIDAD"</formula>
    </cfRule>
    <cfRule type="expression" dxfId="29" priority="30">
      <formula>$C$4="URBANA"</formula>
    </cfRule>
  </conditionalFormatting>
  <conditionalFormatting sqref="D574:D579">
    <cfRule type="expression" dxfId="28" priority="28">
      <formula>$C$4="PERIMETRAL"</formula>
    </cfRule>
  </conditionalFormatting>
  <conditionalFormatting sqref="D574 D577:D579">
    <cfRule type="expression" dxfId="27" priority="25">
      <formula>$C$4="MAXIMA SEGURIDAD"</formula>
    </cfRule>
    <cfRule type="expression" dxfId="26" priority="27">
      <formula>$C$4="URBANA"</formula>
    </cfRule>
  </conditionalFormatting>
  <conditionalFormatting sqref="D574 D579:D582">
    <cfRule type="expression" dxfId="25" priority="26">
      <formula>$C$4="INTRADOMICILIARIA"</formula>
    </cfRule>
  </conditionalFormatting>
  <conditionalFormatting sqref="D581:D582">
    <cfRule type="expression" dxfId="24" priority="24">
      <formula>$C$4="PERIMETRAL"</formula>
    </cfRule>
  </conditionalFormatting>
  <conditionalFormatting sqref="D581:D582">
    <cfRule type="expression" dxfId="23" priority="22">
      <formula>$C$4="MAXIMA SEGURIDAD"</formula>
    </cfRule>
    <cfRule type="expression" dxfId="22" priority="23">
      <formula>$C$4="URBANA"</formula>
    </cfRule>
  </conditionalFormatting>
  <conditionalFormatting sqref="D586:D591">
    <cfRule type="expression" dxfId="21" priority="21">
      <formula>$C$4="PERIMETRAL"</formula>
    </cfRule>
  </conditionalFormatting>
  <conditionalFormatting sqref="D586 D589:D591">
    <cfRule type="expression" dxfId="20" priority="18">
      <formula>$C$4="MAXIMA SEGURIDAD"</formula>
    </cfRule>
    <cfRule type="expression" dxfId="19" priority="20">
      <formula>$C$4="URBANA"</formula>
    </cfRule>
  </conditionalFormatting>
  <conditionalFormatting sqref="D586 D591:D594">
    <cfRule type="expression" dxfId="18" priority="19">
      <formula>$C$4="INTRADOMICILIARIA"</formula>
    </cfRule>
  </conditionalFormatting>
  <conditionalFormatting sqref="D593:D594">
    <cfRule type="expression" dxfId="17" priority="17">
      <formula>$C$4="PERIMETRAL"</formula>
    </cfRule>
  </conditionalFormatting>
  <conditionalFormatting sqref="D593:D594">
    <cfRule type="expression" dxfId="16" priority="15">
      <formula>$C$4="MAXIMA SEGURIDAD"</formula>
    </cfRule>
    <cfRule type="expression" dxfId="15" priority="16">
      <formula>$C$4="URBANA"</formula>
    </cfRule>
  </conditionalFormatting>
  <conditionalFormatting sqref="D598:D603">
    <cfRule type="expression" dxfId="14" priority="14">
      <formula>$C$4="PERIMETRAL"</formula>
    </cfRule>
  </conditionalFormatting>
  <conditionalFormatting sqref="D598 D601:D603">
    <cfRule type="expression" dxfId="13" priority="11">
      <formula>$C$4="MAXIMA SEGURIDAD"</formula>
    </cfRule>
    <cfRule type="expression" dxfId="12" priority="13">
      <formula>$C$4="URBANA"</formula>
    </cfRule>
  </conditionalFormatting>
  <conditionalFormatting sqref="D598 D603:D606">
    <cfRule type="expression" dxfId="11" priority="12">
      <formula>$C$4="INTRADOMICILIARIA"</formula>
    </cfRule>
  </conditionalFormatting>
  <conditionalFormatting sqref="D605:D606">
    <cfRule type="expression" dxfId="10" priority="10">
      <formula>$C$4="PERIMETRAL"</formula>
    </cfRule>
  </conditionalFormatting>
  <conditionalFormatting sqref="D605:D606">
    <cfRule type="expression" dxfId="9" priority="8">
      <formula>$C$4="MAXIMA SEGURIDAD"</formula>
    </cfRule>
    <cfRule type="expression" dxfId="8" priority="9">
      <formula>$C$4="URBANA"</formula>
    </cfRule>
  </conditionalFormatting>
  <conditionalFormatting sqref="D610:D615">
    <cfRule type="expression" dxfId="7" priority="7">
      <formula>$C$4="PERIMETRAL"</formula>
    </cfRule>
  </conditionalFormatting>
  <conditionalFormatting sqref="D610 D613:D615">
    <cfRule type="expression" dxfId="6" priority="4">
      <formula>$C$4="MAXIMA SEGURIDAD"</formula>
    </cfRule>
    <cfRule type="expression" dxfId="5" priority="6">
      <formula>$C$4="URBANA"</formula>
    </cfRule>
  </conditionalFormatting>
  <conditionalFormatting sqref="D610 D615:D618">
    <cfRule type="expression" dxfId="4" priority="5">
      <formula>$C$4="INTRADOMICILIARIA"</formula>
    </cfRule>
  </conditionalFormatting>
  <conditionalFormatting sqref="D617:D618">
    <cfRule type="expression" dxfId="3" priority="3">
      <formula>$C$4="PERIMETRAL"</formula>
    </cfRule>
  </conditionalFormatting>
  <conditionalFormatting sqref="D617:D618">
    <cfRule type="expression" dxfId="2" priority="1">
      <formula>$C$4="MAXIMA SEGURIDAD"</formula>
    </cfRule>
    <cfRule type="expression" dxfId="1" priority="2">
      <formula>$C$4="URBANA"</formula>
    </cfRule>
  </conditionalFormatting>
  <dataValidations disablePrompts="1" count="1">
    <dataValidation allowBlank="1" showInputMessage="1" showErrorMessage="1" promptTitle="Terreno Escalonado" prompt="Indicar el porcentaje de la longitud que el terreno esta inclinado." sqref="D37 D49 D61 D73 D85 D97 D109 D121 D133 D145 D157 D169 D181 D193 D205 D217 D229 D241 D253 D265 D277 D289 D301 D313 D325 D337 D349 D361 D373 D385 D397 D409 D421 D433 D445 D457 D469 D481 D493 D505 D517 D529 D541 D553 D565 D577 D589 D601 D613" xr:uid="{4576F93B-856B-417F-8B45-609A4C9135DC}"/>
  </dataValidations>
  <printOptions horizontalCentered="1" verticalCentered="1"/>
  <pageMargins left="0.27559055118110237" right="0.23622047244094491" top="0.43307086614173229" bottom="0.39370078740157483" header="0.31496062992125984" footer="0.31496062992125984"/>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610" r:id="rId4" name="Button 82">
              <controlPr defaultSize="0" print="0" autoFill="0" autoPict="0" macro="[0]!refrescar">
                <anchor moveWithCells="1" sizeWithCells="1">
                  <from>
                    <xdr:col>3</xdr:col>
                    <xdr:colOff>920750</xdr:colOff>
                    <xdr:row>27</xdr:row>
                    <xdr:rowOff>152400</xdr:rowOff>
                  </from>
                  <to>
                    <xdr:col>4</xdr:col>
                    <xdr:colOff>1073150</xdr:colOff>
                    <xdr:row>29</xdr:row>
                    <xdr:rowOff>177800</xdr:rowOff>
                  </to>
                </anchor>
              </controlPr>
            </control>
          </mc:Choice>
        </mc:AlternateContent>
        <mc:AlternateContent xmlns:mc="http://schemas.openxmlformats.org/markup-compatibility/2006">
          <mc:Choice Requires="x14">
            <control shapeId="22611" r:id="rId5" name="Button 83">
              <controlPr defaultSize="0" print="0" autoFill="0" autoPict="0" macro="[0]!Calcularlineal">
                <anchor moveWithCells="1" sizeWithCells="1">
                  <from>
                    <xdr:col>6</xdr:col>
                    <xdr:colOff>406400</xdr:colOff>
                    <xdr:row>27</xdr:row>
                    <xdr:rowOff>114300</xdr:rowOff>
                  </from>
                  <to>
                    <xdr:col>7</xdr:col>
                    <xdr:colOff>412750</xdr:colOff>
                    <xdr:row>30</xdr:row>
                    <xdr:rowOff>0</xdr:rowOff>
                  </to>
                </anchor>
              </controlPr>
            </control>
          </mc:Choice>
        </mc:AlternateContent>
        <mc:AlternateContent xmlns:mc="http://schemas.openxmlformats.org/markup-compatibility/2006">
          <mc:Choice Requires="x14">
            <control shapeId="22612" r:id="rId6" name="Button 84">
              <controlPr defaultSize="0" print="0" autoFill="0" autoPict="0" macro="[0]!retornomenuprincipal">
                <anchor moveWithCells="1" sizeWithCells="1">
                  <from>
                    <xdr:col>8</xdr:col>
                    <xdr:colOff>654050</xdr:colOff>
                    <xdr:row>27</xdr:row>
                    <xdr:rowOff>165100</xdr:rowOff>
                  </from>
                  <to>
                    <xdr:col>10</xdr:col>
                    <xdr:colOff>977900</xdr:colOff>
                    <xdr:row>29</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B5DB4D50-D3E0-4B75-9DE2-B1745F4EE954}">
          <x14:formula1>
            <xm:f>Calculo!$P$6:$P$7</xm:f>
          </x14:formula1>
          <xm:sqref>D41:D42 D53:D54 D65:D66 D77:D78 D89:D90 D101:D102 D113:D114 D125:D126 D137:D138 D149:D150 D161:D162 D173:D174 D185:D186 D197:D198 D209:D210 D221:D222 D233:D234 D245:D246 D257:D258 D269:D270 D281:D282 D293:D294 D305:D306 D317:D318 D329:D330 D341:D342 D353:D354 D365:D366 D377:D378 D389:D390 D401:D402 D413:D414 D425:D426 D437:D438 D449:D450 D461:D462 D473:D474 D485:D486 D497:D498 D509:D510 D521:D522 D533:D534 D545:D546 D557:D558 D569:D570 D581:D582 D593:D594 D605:D606 D617:D618</xm:sqref>
        </x14:dataValidation>
        <x14:dataValidation type="list" allowBlank="1" showInputMessage="1" showErrorMessage="1" xr:uid="{33779452-4301-4528-9CDB-299DC4865684}">
          <x14:formula1>
            <xm:f>Calculo!$G$101:$G$103</xm:f>
          </x14:formula1>
          <xm:sqref>E38 E50 E62 E74 E86 E98 E110 E122 E134 E146 E158 E170 E182 E194 E206 E218 E230 E242 E254 E266 E278 E290 E302 E314 E326 E338 E350 E362 E374 E386 E398 E410 E422 E434 E446 E458 E470 E482 E494 E506 E518 E530 E542 E554 E566 E578 E590 E602 E614</xm:sqref>
        </x14:dataValidation>
        <x14:dataValidation type="list" allowBlank="1" showInputMessage="1" showErrorMessage="1" xr:uid="{C893F497-EB37-4977-869C-A7FAB6CE46BA}">
          <x14:formula1>
            <xm:f>Calculo!$S$2:$S$3</xm:f>
          </x14:formula1>
          <xm:sqref>D36 D48 D60 D72 D84 D96 D108 D120 D132 D144 D156 D168 D180 D192 D204 D216 D228 D240 D252 D264 D276 D288 D300 D312 D324 D336 D348 D360 D372 D384 D396 D408 D420 D432 D444 D456 D468 D480 D492 D504 D516 D528 D540 D552 D564 D576 D588 D600 D612</xm:sqref>
        </x14:dataValidation>
        <x14:dataValidation type="list" allowBlank="1" showInputMessage="1" showErrorMessage="1" xr:uid="{82CE1826-73EB-49F7-BF32-12365750FFA0}">
          <x14:formula1>
            <xm:f>Calculo!$P$2:$P$3</xm:f>
          </x14:formula1>
          <xm:sqref>D35 D47 D59 D71 D83 D95 D107 D119 D131 D143 D155 D167 D179 D191 D203 D215 D227 D239 D251 D263 D275 D287 D299 D311 D323 D335 D347 D359 D371 D383 D395 D407 D419 D431 D443 D455 D467 D479 D491 D503 D515 D527 D539 D551 D563 D575 D587 D599 D611</xm:sqref>
        </x14:dataValidation>
        <x14:dataValidation type="list" allowBlank="1" showInputMessage="1" showErrorMessage="1" xr:uid="{AB900507-C53E-4F47-8EEE-1832089C1AF1}">
          <x14:formula1>
            <xm:f>Calculo!#REF!</xm:f>
          </x14:formula1>
          <xm:sqref>D39 D51 D63 D75 D87 D99 D111 D123 D135 D147 D159 D171 D183 D195 D207 D219 D231 D243 D255 D267 D279 D291 D303 D315 D327 D339 D351 D363 D375 D387 D399 D411 D423 D435 D447 D459 D471 D483 D495 D507 D519 D531 D543 D555 D567 D579 D591 D603 D615</xm:sqref>
        </x14:dataValidation>
        <x14:dataValidation type="list" allowBlank="1" showInputMessage="1" showErrorMessage="1" xr:uid="{FD72131E-B76C-4B11-9839-34996ED52097}">
          <x14:formula1>
            <xm:f>Calculo!$M$3:$M$8</xm:f>
          </x14:formula1>
          <xm:sqref>D38 D50 D62 D74 D86 D98 D110 D122 D134 D146 D158 D170 D182 D194 D206 D218 D230 D242 D254 D266 D278 D290 D302 D314 D326 D338 D350 D362 D374 D386 D398 D410 D422 D434 D446 D458 D470 D482 D494 D506 D518 D530 D542 D554 D566 D578 D590 D602 D614</xm:sqref>
        </x14:dataValidation>
        <x14:dataValidation type="list" allowBlank="1" showInputMessage="1" showErrorMessage="1" xr:uid="{B37DDF89-72A0-4CFC-9840-CF0FDC9FEACA}">
          <x14:formula1>
            <xm:f>'DATOS PARTIDA'!$A$5:$A$11</xm:f>
          </x14:formula1>
          <xm:sqref>H34 H46 H58 H70 H82 H94 H106 H118 H130 H142 H154 H166 H178 H190 H202 H214 H226 H238 H250 H262 H274 H286 H298 H310 H322 H334 H346 H358 H370 H382 H394 H406 H418 H430 H442 H454 H466 H478 H490 H502 H514 H526 H538 H550 H562 H574 H586 H598 H610</xm:sqref>
        </x14:dataValidation>
        <x14:dataValidation type="custom" allowBlank="1" showInputMessage="1" showErrorMessage="1" xr:uid="{B0C02C21-F4B7-41F3-B530-9A0E2EB172FC}">
          <x14:formula1>
            <xm:f>+AND(H40&gt;='DATOS PARTIDA'!B39,H40&lt;='DATOS PARTIDA'!C39)</xm:f>
          </x14:formula1>
          <xm:sqref>H40:H41 H616:H617 H604:H605 H592:H593 H580:H581 H568:H569 H556:H557 H544:H545 H532:H533 H520:H521 H508:H509 H496:H497 H484:H485 H472:H473 H460:H461 H448:H449 H436:H437 H424:H425 H412:H413 H400:H401 H388:H389 H376:H377 H364:H365 H352:H353 H340:H341 H328:H329 H316:H317 H304:H305 H292:H293 H280:H281 H268:H269 H256:H257 H244:H245 H232:H233 H220:H221 H208:H209 H196:H197 H184:H185 H172:H173 H160:H161 H148:H149 H136:H137 H124:H125 H112:H113 H100:H101 H88:H89 H76:H77 H64:H65 H52:H53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2ECED-D7C7-429F-8BC8-D29C089B98FC}">
  <sheetPr codeName="Hoja2">
    <tabColor rgb="FF9966FF"/>
    <pageSetUpPr fitToPage="1"/>
  </sheetPr>
  <dimension ref="A1:Y100"/>
  <sheetViews>
    <sheetView zoomScaleNormal="100" workbookViewId="0">
      <pane ySplit="3350" topLeftCell="A93" activePane="bottomLeft"/>
      <selection activeCell="G23" sqref="G23"/>
      <selection pane="bottomLeft" activeCell="L101" sqref="L101"/>
    </sheetView>
  </sheetViews>
  <sheetFormatPr baseColWidth="10" defaultColWidth="11.54296875" defaultRowHeight="14.5"/>
  <cols>
    <col min="1" max="1" width="5.1796875" customWidth="1"/>
    <col min="2" max="2" width="10.08984375" customWidth="1"/>
    <col min="3" max="3" width="51.1796875" customWidth="1"/>
    <col min="4" max="4" width="9.81640625" customWidth="1"/>
    <col min="5" max="5" width="14.1796875" customWidth="1"/>
    <col min="6" max="11" width="11.54296875" customWidth="1"/>
    <col min="14" max="16" width="10.1796875" customWidth="1"/>
    <col min="17" max="17" width="14" customWidth="1"/>
    <col min="18" max="18" width="12.81640625" customWidth="1"/>
    <col min="19" max="19" width="12.81640625" style="84" customWidth="1"/>
    <col min="20" max="21" width="8.08984375" customWidth="1"/>
    <col min="22" max="22" width="13.453125" customWidth="1"/>
  </cols>
  <sheetData>
    <row r="1" spans="1:25" s="1" customFormat="1">
      <c r="S1" s="2"/>
    </row>
    <row r="2" spans="1:25" s="1" customFormat="1">
      <c r="S2" s="2"/>
    </row>
    <row r="3" spans="1:25" s="1" customFormat="1">
      <c r="S3" s="2"/>
    </row>
    <row r="4" spans="1:25" s="1" customFormat="1" ht="13.5" customHeight="1" thickBot="1">
      <c r="S4" s="2"/>
    </row>
    <row r="5" spans="1:25" s="1" customFormat="1" ht="32.25" customHeight="1" thickBot="1">
      <c r="A5" s="626" t="str">
        <f>+'CERCAPRO Marzo9'!A5</f>
        <v>LISTA DE PRECIOS 
VIGENTE  AGOSTO DE 2026</v>
      </c>
      <c r="B5" s="627"/>
      <c r="C5" s="627"/>
      <c r="D5" s="627"/>
      <c r="E5" s="627"/>
      <c r="F5" s="627"/>
      <c r="G5" s="627"/>
      <c r="H5" s="627"/>
      <c r="I5" s="627"/>
      <c r="J5" s="627"/>
      <c r="K5" s="627"/>
      <c r="L5" s="628"/>
      <c r="S5" s="2"/>
      <c r="T5" s="629" t="s">
        <v>0</v>
      </c>
      <c r="U5" s="630"/>
      <c r="V5" s="631"/>
    </row>
    <row r="6" spans="1:25" s="1" customFormat="1" ht="35" customHeight="1" thickBot="1">
      <c r="A6" s="3"/>
      <c r="B6" s="4" t="s">
        <v>1</v>
      </c>
      <c r="C6" s="5" t="s">
        <v>2</v>
      </c>
      <c r="D6" s="6" t="s">
        <v>3</v>
      </c>
      <c r="E6" s="6" t="s">
        <v>4</v>
      </c>
      <c r="F6" s="7" t="s">
        <v>5</v>
      </c>
      <c r="G6" s="8" t="s">
        <v>6</v>
      </c>
      <c r="H6" s="9" t="s">
        <v>7</v>
      </c>
      <c r="I6" s="10" t="s">
        <v>8</v>
      </c>
      <c r="J6" s="8" t="s">
        <v>9</v>
      </c>
      <c r="K6" s="11" t="s">
        <v>10</v>
      </c>
      <c r="L6" s="12" t="s">
        <v>11</v>
      </c>
      <c r="N6" s="13" t="s">
        <v>12</v>
      </c>
      <c r="O6" s="14" t="s">
        <v>13</v>
      </c>
      <c r="P6" s="14" t="s">
        <v>14</v>
      </c>
      <c r="Q6" s="15" t="s">
        <v>15</v>
      </c>
      <c r="R6" s="16" t="s">
        <v>16</v>
      </c>
      <c r="S6" s="17" t="s">
        <v>17</v>
      </c>
      <c r="T6" s="18" t="s">
        <v>12</v>
      </c>
      <c r="U6" s="19" t="s">
        <v>15</v>
      </c>
      <c r="V6" s="20" t="s">
        <v>14</v>
      </c>
    </row>
    <row r="7" spans="1:25" s="1" customFormat="1" ht="15" customHeight="1" thickBot="1">
      <c r="A7" s="21"/>
      <c r="B7" s="22"/>
      <c r="C7" s="23"/>
      <c r="D7" s="24"/>
      <c r="E7" s="24"/>
      <c r="F7" s="25">
        <v>0.2</v>
      </c>
      <c r="G7" s="25">
        <v>0.185</v>
      </c>
      <c r="H7" s="25">
        <v>0.17499999999999999</v>
      </c>
      <c r="I7" s="25">
        <v>0.17499999999999999</v>
      </c>
      <c r="J7" s="25">
        <v>0.15104000000000001</v>
      </c>
      <c r="K7" s="25">
        <v>0.05</v>
      </c>
      <c r="L7" s="26"/>
      <c r="N7" s="27"/>
      <c r="O7" s="28"/>
      <c r="P7" s="28"/>
      <c r="Q7" s="28"/>
      <c r="R7" s="29">
        <v>0.2</v>
      </c>
      <c r="S7" s="30"/>
      <c r="T7" s="31"/>
      <c r="U7" s="32"/>
      <c r="V7" s="33"/>
    </row>
    <row r="8" spans="1:25" s="1" customFormat="1" ht="15" customHeight="1" thickBot="1">
      <c r="A8" s="386" t="s">
        <v>18</v>
      </c>
      <c r="B8" s="387"/>
      <c r="C8" s="388"/>
      <c r="D8" s="388"/>
      <c r="E8" s="389"/>
      <c r="F8" s="390"/>
      <c r="G8" s="390"/>
      <c r="H8" s="390"/>
      <c r="I8" s="390"/>
      <c r="J8" s="390"/>
      <c r="K8" s="390"/>
      <c r="L8" s="391"/>
      <c r="N8" s="37"/>
      <c r="O8" s="38"/>
      <c r="P8" s="38"/>
      <c r="Q8" s="38"/>
      <c r="R8" s="39"/>
      <c r="S8" s="40"/>
      <c r="T8" s="41"/>
      <c r="U8" s="32"/>
      <c r="V8" s="33"/>
    </row>
    <row r="9" spans="1:25">
      <c r="A9" s="392">
        <v>1</v>
      </c>
      <c r="B9" s="294">
        <v>270426</v>
      </c>
      <c r="C9" s="295" t="s">
        <v>345</v>
      </c>
      <c r="D9" s="296">
        <v>2.5499999999999998</v>
      </c>
      <c r="E9" s="297" t="s">
        <v>21</v>
      </c>
      <c r="F9" s="393"/>
      <c r="G9" s="393"/>
      <c r="H9" s="393"/>
      <c r="I9" s="393"/>
      <c r="J9" s="393"/>
      <c r="K9" s="393"/>
      <c r="L9" s="396">
        <v>16.896000000000001</v>
      </c>
      <c r="M9" s="45"/>
      <c r="N9" s="46">
        <v>20.57</v>
      </c>
      <c r="O9" s="47">
        <f>+N9/D9*1000</f>
        <v>8066.6666666666679</v>
      </c>
      <c r="P9" s="48">
        <f>+V9</f>
        <v>0.6</v>
      </c>
      <c r="Q9" s="49">
        <f>+N9*(P9+1)</f>
        <v>32.911999999999999</v>
      </c>
      <c r="R9" s="50">
        <f>ROUND($Q9*(1-R$7),2)</f>
        <v>26.33</v>
      </c>
      <c r="S9" s="51">
        <f t="shared" ref="S9:S15" si="0">(R9-N9)/R9</f>
        <v>0.21876186859096081</v>
      </c>
      <c r="T9" s="52">
        <v>20.57</v>
      </c>
      <c r="U9" s="53">
        <v>32.911999999999999</v>
      </c>
      <c r="V9" s="54">
        <v>0.6</v>
      </c>
      <c r="X9" s="55"/>
      <c r="Y9" s="56"/>
    </row>
    <row r="10" spans="1:25">
      <c r="A10" s="394">
        <v>2</v>
      </c>
      <c r="B10" s="298">
        <v>270428</v>
      </c>
      <c r="C10" s="299" t="s">
        <v>20</v>
      </c>
      <c r="D10" s="300">
        <v>4.97</v>
      </c>
      <c r="E10" s="301" t="s">
        <v>21</v>
      </c>
      <c r="F10" s="395"/>
      <c r="G10" s="395"/>
      <c r="H10" s="395"/>
      <c r="I10" s="395"/>
      <c r="J10" s="395"/>
      <c r="K10" s="395"/>
      <c r="L10" s="396">
        <v>32.909999999999997</v>
      </c>
      <c r="N10" s="46">
        <v>21.78</v>
      </c>
      <c r="O10" s="47">
        <f t="shared" ref="O10:O15" si="1">+N10/D10*1000</f>
        <v>4382.293762575453</v>
      </c>
      <c r="P10" s="48">
        <f t="shared" ref="P10:P15" si="2">+V10</f>
        <v>0.6</v>
      </c>
      <c r="Q10" s="49">
        <f t="shared" ref="Q10:Q15" si="3">+N10*(P10+1)</f>
        <v>34.848000000000006</v>
      </c>
      <c r="R10" s="50">
        <f t="shared" ref="R10:R15" si="4">ROUND($Q10*(1-R$7),2)</f>
        <v>27.88</v>
      </c>
      <c r="S10" s="51">
        <f t="shared" si="0"/>
        <v>0.21879483500717353</v>
      </c>
      <c r="T10" s="52">
        <v>21.78</v>
      </c>
      <c r="U10" s="53">
        <v>34.848000000000006</v>
      </c>
      <c r="V10" s="54">
        <v>0.6</v>
      </c>
      <c r="X10" s="55"/>
    </row>
    <row r="11" spans="1:25">
      <c r="A11" s="394">
        <v>3</v>
      </c>
      <c r="B11" s="298">
        <v>270430</v>
      </c>
      <c r="C11" s="299" t="s">
        <v>22</v>
      </c>
      <c r="D11" s="300">
        <v>2.3199999999999998</v>
      </c>
      <c r="E11" s="301" t="s">
        <v>21</v>
      </c>
      <c r="F11" s="395"/>
      <c r="G11" s="395"/>
      <c r="H11" s="395"/>
      <c r="I11" s="395"/>
      <c r="J11" s="395"/>
      <c r="K11" s="395"/>
      <c r="L11" s="396">
        <v>34.85</v>
      </c>
      <c r="N11" s="46">
        <v>93.17</v>
      </c>
      <c r="O11" s="47">
        <f t="shared" si="1"/>
        <v>40159.482758620688</v>
      </c>
      <c r="P11" s="48">
        <f t="shared" si="2"/>
        <v>0.6</v>
      </c>
      <c r="Q11" s="49">
        <f t="shared" si="3"/>
        <v>149.072</v>
      </c>
      <c r="R11" s="50">
        <f t="shared" si="4"/>
        <v>119.26</v>
      </c>
      <c r="S11" s="51">
        <f t="shared" si="0"/>
        <v>0.21876572195203758</v>
      </c>
      <c r="T11" s="52">
        <v>93.17</v>
      </c>
      <c r="U11" s="53">
        <v>149.072</v>
      </c>
      <c r="V11" s="54">
        <v>0.6</v>
      </c>
      <c r="X11" s="55"/>
    </row>
    <row r="12" spans="1:25">
      <c r="A12" s="394">
        <v>4</v>
      </c>
      <c r="B12" s="298">
        <v>270433</v>
      </c>
      <c r="C12" s="299" t="s">
        <v>23</v>
      </c>
      <c r="D12" s="300">
        <v>9.73</v>
      </c>
      <c r="E12" s="301" t="s">
        <v>24</v>
      </c>
      <c r="F12" s="395"/>
      <c r="G12" s="395"/>
      <c r="H12" s="395"/>
      <c r="I12" s="395"/>
      <c r="J12" s="395"/>
      <c r="K12" s="395"/>
      <c r="L12" s="396">
        <v>149.07</v>
      </c>
      <c r="N12" s="46">
        <v>0.72600000000000009</v>
      </c>
      <c r="O12" s="47">
        <f t="shared" si="1"/>
        <v>74.614594039054481</v>
      </c>
      <c r="P12" s="48">
        <f t="shared" si="2"/>
        <v>1.2</v>
      </c>
      <c r="Q12" s="49">
        <f t="shared" si="3"/>
        <v>1.5972000000000004</v>
      </c>
      <c r="R12" s="50">
        <f t="shared" si="4"/>
        <v>1.28</v>
      </c>
      <c r="S12" s="51">
        <f t="shared" si="0"/>
        <v>0.43281249999999993</v>
      </c>
      <c r="T12" s="52">
        <v>0.72600000000000009</v>
      </c>
      <c r="U12" s="53">
        <v>1.5972000000000004</v>
      </c>
      <c r="V12" s="54">
        <v>1.2</v>
      </c>
      <c r="X12" s="55"/>
    </row>
    <row r="13" spans="1:25">
      <c r="A13" s="394">
        <v>5</v>
      </c>
      <c r="B13" s="298">
        <v>189159</v>
      </c>
      <c r="C13" s="299" t="s">
        <v>25</v>
      </c>
      <c r="D13" s="300">
        <v>0.03</v>
      </c>
      <c r="E13" s="301" t="s">
        <v>26</v>
      </c>
      <c r="F13" s="395"/>
      <c r="G13" s="395"/>
      <c r="H13" s="395"/>
      <c r="I13" s="395"/>
      <c r="J13" s="395"/>
      <c r="K13" s="395"/>
      <c r="L13" s="396">
        <v>1.6</v>
      </c>
      <c r="N13" s="46">
        <v>10.89</v>
      </c>
      <c r="O13" s="47">
        <f t="shared" si="1"/>
        <v>363000.00000000006</v>
      </c>
      <c r="P13" s="48">
        <f t="shared" si="2"/>
        <v>1.2</v>
      </c>
      <c r="Q13" s="49">
        <f t="shared" si="3"/>
        <v>23.958000000000002</v>
      </c>
      <c r="R13" s="50">
        <f t="shared" si="4"/>
        <v>19.170000000000002</v>
      </c>
      <c r="S13" s="51">
        <f t="shared" si="0"/>
        <v>0.431924882629108</v>
      </c>
      <c r="T13" s="52">
        <v>10.89</v>
      </c>
      <c r="U13" s="53">
        <v>23.958000000000002</v>
      </c>
      <c r="V13" s="54">
        <v>1.2</v>
      </c>
      <c r="X13" s="55"/>
    </row>
    <row r="14" spans="1:25">
      <c r="A14" s="394">
        <v>6</v>
      </c>
      <c r="B14" s="298">
        <v>189158</v>
      </c>
      <c r="C14" s="299" t="s">
        <v>27</v>
      </c>
      <c r="D14" s="300">
        <v>0.27</v>
      </c>
      <c r="E14" s="301" t="s">
        <v>26</v>
      </c>
      <c r="F14" s="395"/>
      <c r="G14" s="395"/>
      <c r="H14" s="395"/>
      <c r="I14" s="395"/>
      <c r="J14" s="395"/>
      <c r="K14" s="395"/>
      <c r="L14" s="396">
        <v>23.96</v>
      </c>
      <c r="N14" s="46">
        <v>0.121</v>
      </c>
      <c r="O14" s="47">
        <f t="shared" si="1"/>
        <v>448.14814814814815</v>
      </c>
      <c r="P14" s="48">
        <f t="shared" si="2"/>
        <v>1.5</v>
      </c>
      <c r="Q14" s="49">
        <f t="shared" si="3"/>
        <v>0.30249999999999999</v>
      </c>
      <c r="R14" s="50">
        <f t="shared" si="4"/>
        <v>0.24</v>
      </c>
      <c r="S14" s="51">
        <f t="shared" si="0"/>
        <v>0.49583333333333335</v>
      </c>
      <c r="T14" s="52">
        <v>0.121</v>
      </c>
      <c r="U14" s="53">
        <v>0.30249999999999999</v>
      </c>
      <c r="V14" s="54">
        <v>1.5</v>
      </c>
      <c r="X14" s="55"/>
    </row>
    <row r="15" spans="1:25">
      <c r="A15" s="394">
        <v>7</v>
      </c>
      <c r="B15" s="298">
        <v>665218</v>
      </c>
      <c r="C15" s="299" t="s">
        <v>28</v>
      </c>
      <c r="D15" s="300">
        <v>8.0000000000000002E-3</v>
      </c>
      <c r="E15" s="301" t="s">
        <v>26</v>
      </c>
      <c r="F15" s="395"/>
      <c r="G15" s="395"/>
      <c r="H15" s="395"/>
      <c r="I15" s="395"/>
      <c r="J15" s="395"/>
      <c r="K15" s="395"/>
      <c r="L15" s="396">
        <v>0.3</v>
      </c>
      <c r="N15" s="46">
        <v>1.8149999999999999</v>
      </c>
      <c r="O15" s="47">
        <f t="shared" si="1"/>
        <v>226875</v>
      </c>
      <c r="P15" s="48">
        <f t="shared" si="2"/>
        <v>1.5</v>
      </c>
      <c r="Q15" s="49">
        <f t="shared" si="3"/>
        <v>4.5374999999999996</v>
      </c>
      <c r="R15" s="50">
        <f t="shared" si="4"/>
        <v>3.63</v>
      </c>
      <c r="S15" s="51">
        <f t="shared" si="0"/>
        <v>0.5</v>
      </c>
      <c r="T15" s="52">
        <v>1.8149999999999999</v>
      </c>
      <c r="U15" s="53">
        <v>4.5374999999999996</v>
      </c>
      <c r="V15" s="54">
        <v>1.5</v>
      </c>
      <c r="X15" s="55"/>
    </row>
    <row r="16" spans="1:25" ht="15" thickBot="1">
      <c r="A16" s="394">
        <v>8</v>
      </c>
      <c r="B16" s="298">
        <v>665217</v>
      </c>
      <c r="C16" s="299" t="s">
        <v>29</v>
      </c>
      <c r="D16" s="300">
        <v>0.04</v>
      </c>
      <c r="E16" s="301" t="s">
        <v>26</v>
      </c>
      <c r="F16" s="395"/>
      <c r="G16" s="395"/>
      <c r="H16" s="395"/>
      <c r="I16" s="395"/>
      <c r="J16" s="395"/>
      <c r="K16" s="395"/>
      <c r="L16" s="396">
        <v>4.54</v>
      </c>
      <c r="N16" s="57"/>
      <c r="O16" s="58"/>
      <c r="P16" s="58"/>
      <c r="Q16" s="58"/>
      <c r="R16" s="59"/>
      <c r="S16" s="60"/>
      <c r="T16" s="52"/>
      <c r="U16" s="53"/>
      <c r="V16" s="54"/>
      <c r="X16" s="55"/>
    </row>
    <row r="17" spans="1:24" ht="15" thickBot="1">
      <c r="A17" s="397" t="s">
        <v>30</v>
      </c>
      <c r="B17" s="387"/>
      <c r="C17" s="388"/>
      <c r="D17" s="388"/>
      <c r="E17" s="389"/>
      <c r="F17" s="390"/>
      <c r="G17" s="390"/>
      <c r="H17" s="390"/>
      <c r="I17" s="390"/>
      <c r="J17" s="390"/>
      <c r="K17" s="390"/>
      <c r="L17" s="396"/>
      <c r="N17" s="61" t="s">
        <v>12</v>
      </c>
      <c r="O17" s="62" t="s">
        <v>13</v>
      </c>
      <c r="P17" s="62" t="s">
        <v>31</v>
      </c>
      <c r="Q17" s="63" t="s">
        <v>11</v>
      </c>
      <c r="R17" s="64" t="s">
        <v>5</v>
      </c>
      <c r="S17" s="65"/>
      <c r="T17" s="52"/>
      <c r="U17" s="53"/>
      <c r="V17" s="54"/>
      <c r="X17" s="55"/>
    </row>
    <row r="18" spans="1:24">
      <c r="A18" s="392">
        <v>1</v>
      </c>
      <c r="B18" s="294">
        <v>667701</v>
      </c>
      <c r="C18" s="295" t="s">
        <v>32</v>
      </c>
      <c r="D18" s="296">
        <v>15.426</v>
      </c>
      <c r="E18" s="297" t="s">
        <v>21</v>
      </c>
      <c r="F18" s="393"/>
      <c r="G18" s="393"/>
      <c r="H18" s="395"/>
      <c r="I18" s="393"/>
      <c r="J18" s="393"/>
      <c r="K18" s="393"/>
      <c r="L18" s="396">
        <v>90.39</v>
      </c>
      <c r="N18" s="66">
        <v>50.214999999999996</v>
      </c>
      <c r="O18" s="47">
        <f t="shared" ref="O18:O25" si="5">+N18/D18*1000</f>
        <v>3255.218462336315</v>
      </c>
      <c r="P18" s="48">
        <v>0.8</v>
      </c>
      <c r="Q18" s="49">
        <f t="shared" ref="Q18:Q25" si="6">+N18*(P18+1)</f>
        <v>90.387</v>
      </c>
      <c r="R18" s="50">
        <f t="shared" ref="R18:R25" si="7">ROUND($Q18*(1-R$7),2)</f>
        <v>72.31</v>
      </c>
      <c r="S18" s="60">
        <f t="shared" ref="S18:S25" si="8">(R18-N18)/R18</f>
        <v>0.30555939704052004</v>
      </c>
      <c r="T18" s="52">
        <v>50.214999999999996</v>
      </c>
      <c r="U18" s="53">
        <v>90.387</v>
      </c>
      <c r="V18" s="54">
        <v>0.8</v>
      </c>
      <c r="X18" s="55"/>
    </row>
    <row r="19" spans="1:24">
      <c r="A19" s="394">
        <v>2</v>
      </c>
      <c r="B19" s="298">
        <v>667702</v>
      </c>
      <c r="C19" s="299" t="s">
        <v>33</v>
      </c>
      <c r="D19" s="300">
        <v>5.0439999999999996</v>
      </c>
      <c r="E19" s="301" t="s">
        <v>21</v>
      </c>
      <c r="F19" s="395"/>
      <c r="G19" s="395"/>
      <c r="H19" s="395"/>
      <c r="I19" s="395"/>
      <c r="J19" s="395"/>
      <c r="K19" s="395"/>
      <c r="L19" s="396">
        <v>37.61</v>
      </c>
      <c r="N19" s="66">
        <v>25.41</v>
      </c>
      <c r="O19" s="47">
        <f t="shared" si="5"/>
        <v>5037.6685170499613</v>
      </c>
      <c r="P19" s="48">
        <v>0.48</v>
      </c>
      <c r="Q19" s="49">
        <f>+N19*(P19+1)</f>
        <v>37.6068</v>
      </c>
      <c r="R19" s="50">
        <f>ROUND($Q19*(1-R$7),2)</f>
        <v>30.09</v>
      </c>
      <c r="S19" s="60">
        <f t="shared" si="8"/>
        <v>0.15553339980059819</v>
      </c>
      <c r="T19" s="52">
        <v>25.41</v>
      </c>
      <c r="U19" s="53">
        <v>37.6068</v>
      </c>
      <c r="V19" s="54">
        <v>0.48</v>
      </c>
      <c r="X19" s="55"/>
    </row>
    <row r="20" spans="1:24">
      <c r="A20" s="394">
        <v>3</v>
      </c>
      <c r="B20" s="298">
        <v>667705</v>
      </c>
      <c r="C20" s="299" t="s">
        <v>34</v>
      </c>
      <c r="D20" s="300">
        <v>2.8000000000000001E-2</v>
      </c>
      <c r="E20" s="301" t="s">
        <v>35</v>
      </c>
      <c r="F20" s="395"/>
      <c r="G20" s="395"/>
      <c r="H20" s="395"/>
      <c r="I20" s="395"/>
      <c r="J20" s="395"/>
      <c r="K20" s="395"/>
      <c r="L20" s="396">
        <v>0.81</v>
      </c>
      <c r="N20" s="66">
        <v>0.19359999999999999</v>
      </c>
      <c r="O20" s="47">
        <f t="shared" si="5"/>
        <v>6914.2857142857138</v>
      </c>
      <c r="P20" s="48">
        <v>3.2</v>
      </c>
      <c r="Q20" s="49">
        <f t="shared" si="6"/>
        <v>0.81312000000000006</v>
      </c>
      <c r="R20" s="50">
        <f t="shared" si="7"/>
        <v>0.65</v>
      </c>
      <c r="S20" s="60">
        <f t="shared" si="8"/>
        <v>0.70215384615384613</v>
      </c>
      <c r="T20" s="52">
        <v>0.19359999999999999</v>
      </c>
      <c r="U20" s="53">
        <v>0.81312000000000006</v>
      </c>
      <c r="V20" s="54">
        <v>3.2</v>
      </c>
      <c r="X20" s="55"/>
    </row>
    <row r="21" spans="1:24">
      <c r="A21" s="394">
        <v>4</v>
      </c>
      <c r="B21" s="298">
        <v>667706</v>
      </c>
      <c r="C21" s="299" t="s">
        <v>36</v>
      </c>
      <c r="D21" s="300">
        <v>2.9000000000000001E-2</v>
      </c>
      <c r="E21" s="301" t="s">
        <v>35</v>
      </c>
      <c r="F21" s="395"/>
      <c r="G21" s="395"/>
      <c r="H21" s="395"/>
      <c r="I21" s="395"/>
      <c r="J21" s="395"/>
      <c r="K21" s="395"/>
      <c r="L21" s="396">
        <v>1.07</v>
      </c>
      <c r="N21" s="66">
        <v>0.71389999999999998</v>
      </c>
      <c r="O21" s="47">
        <f t="shared" si="5"/>
        <v>24617.241379310344</v>
      </c>
      <c r="P21" s="48">
        <v>0.5</v>
      </c>
      <c r="Q21" s="49">
        <f t="shared" si="6"/>
        <v>1.0708500000000001</v>
      </c>
      <c r="R21" s="50">
        <f t="shared" si="7"/>
        <v>0.86</v>
      </c>
      <c r="S21" s="60">
        <f t="shared" si="8"/>
        <v>0.16988372093023257</v>
      </c>
      <c r="T21" s="52">
        <v>0.71389999999999998</v>
      </c>
      <c r="U21" s="53">
        <v>1.0708500000000001</v>
      </c>
      <c r="V21" s="54">
        <v>0.5</v>
      </c>
      <c r="X21" s="55"/>
    </row>
    <row r="22" spans="1:24">
      <c r="A22" s="394">
        <v>5</v>
      </c>
      <c r="B22" s="298">
        <v>270501</v>
      </c>
      <c r="C22" s="299" t="s">
        <v>37</v>
      </c>
      <c r="D22" s="300">
        <v>0.02</v>
      </c>
      <c r="E22" s="301" t="s">
        <v>35</v>
      </c>
      <c r="F22" s="395"/>
      <c r="G22" s="395"/>
      <c r="H22" s="395"/>
      <c r="I22" s="395"/>
      <c r="J22" s="395"/>
      <c r="K22" s="395"/>
      <c r="L22" s="396">
        <v>0.87915611814345995</v>
      </c>
      <c r="N22" s="67">
        <v>0.49</v>
      </c>
      <c r="O22" s="68">
        <f t="shared" si="5"/>
        <v>24500</v>
      </c>
      <c r="P22" s="69">
        <f>+P47</f>
        <v>0.75</v>
      </c>
      <c r="Q22" s="70">
        <f t="shared" si="6"/>
        <v>0.85749999999999993</v>
      </c>
      <c r="R22" s="71">
        <f t="shared" si="7"/>
        <v>0.69</v>
      </c>
      <c r="S22" s="72">
        <f t="shared" si="8"/>
        <v>0.28985507246376807</v>
      </c>
      <c r="T22" s="52">
        <v>0.49</v>
      </c>
      <c r="U22" s="53">
        <v>0.85749999999999993</v>
      </c>
      <c r="V22" s="54">
        <v>0.75</v>
      </c>
      <c r="X22" s="55"/>
    </row>
    <row r="23" spans="1:24">
      <c r="A23" s="394">
        <v>6</v>
      </c>
      <c r="B23" s="298">
        <v>270502</v>
      </c>
      <c r="C23" s="299" t="s">
        <v>38</v>
      </c>
      <c r="D23" s="300">
        <v>0.03</v>
      </c>
      <c r="E23" s="301" t="s">
        <v>35</v>
      </c>
      <c r="F23" s="395"/>
      <c r="G23" s="395"/>
      <c r="H23" s="395"/>
      <c r="I23" s="395"/>
      <c r="J23" s="395"/>
      <c r="K23" s="395"/>
      <c r="L23" s="396">
        <v>0.93</v>
      </c>
      <c r="N23" s="67">
        <v>0.53</v>
      </c>
      <c r="O23" s="68">
        <f t="shared" si="5"/>
        <v>17666.666666666668</v>
      </c>
      <c r="P23" s="69">
        <f>+P48</f>
        <v>0.75</v>
      </c>
      <c r="Q23" s="70">
        <f t="shared" si="6"/>
        <v>0.92749999999999999</v>
      </c>
      <c r="R23" s="71">
        <f t="shared" si="7"/>
        <v>0.74</v>
      </c>
      <c r="S23" s="72">
        <f t="shared" si="8"/>
        <v>0.28378378378378372</v>
      </c>
      <c r="T23" s="52">
        <v>0.53</v>
      </c>
      <c r="U23" s="53">
        <v>0.92749999999999999</v>
      </c>
      <c r="V23" s="54">
        <v>0.75</v>
      </c>
      <c r="X23" s="55"/>
    </row>
    <row r="24" spans="1:24">
      <c r="A24" s="394">
        <v>7</v>
      </c>
      <c r="B24" s="298">
        <v>270504</v>
      </c>
      <c r="C24" s="299" t="s">
        <v>39</v>
      </c>
      <c r="D24" s="300">
        <v>0.01</v>
      </c>
      <c r="E24" s="301" t="s">
        <v>35</v>
      </c>
      <c r="F24" s="395"/>
      <c r="G24" s="395"/>
      <c r="H24" s="395"/>
      <c r="I24" s="395"/>
      <c r="J24" s="395"/>
      <c r="K24" s="395"/>
      <c r="L24" s="396">
        <v>2.5</v>
      </c>
      <c r="N24" s="67">
        <v>1.47</v>
      </c>
      <c r="O24" s="68">
        <f t="shared" si="5"/>
        <v>147000</v>
      </c>
      <c r="P24" s="69">
        <f>+P51</f>
        <v>0.7</v>
      </c>
      <c r="Q24" s="70">
        <f t="shared" si="6"/>
        <v>2.4990000000000001</v>
      </c>
      <c r="R24" s="71">
        <f t="shared" si="7"/>
        <v>2</v>
      </c>
      <c r="S24" s="72">
        <f t="shared" si="8"/>
        <v>0.26500000000000001</v>
      </c>
      <c r="T24" s="52">
        <v>1.47</v>
      </c>
      <c r="U24" s="53">
        <v>2.4990000000000001</v>
      </c>
      <c r="V24" s="54">
        <v>0.7</v>
      </c>
      <c r="X24" s="55"/>
    </row>
    <row r="25" spans="1:24" ht="15" thickBot="1">
      <c r="A25" s="394">
        <v>8</v>
      </c>
      <c r="B25" s="298">
        <v>689168</v>
      </c>
      <c r="C25" s="299" t="s">
        <v>40</v>
      </c>
      <c r="D25" s="300">
        <v>1.1200000000000001</v>
      </c>
      <c r="E25" s="301" t="s">
        <v>35</v>
      </c>
      <c r="F25" s="395"/>
      <c r="G25" s="395"/>
      <c r="H25" s="395"/>
      <c r="I25" s="395"/>
      <c r="J25" s="395"/>
      <c r="K25" s="395"/>
      <c r="L25" s="396">
        <v>22.88</v>
      </c>
      <c r="N25" s="67">
        <v>9.15</v>
      </c>
      <c r="O25" s="68">
        <f t="shared" si="5"/>
        <v>8169.642857142856</v>
      </c>
      <c r="P25" s="69">
        <v>1.5</v>
      </c>
      <c r="Q25" s="70">
        <f t="shared" si="6"/>
        <v>22.875</v>
      </c>
      <c r="R25" s="71">
        <f t="shared" si="7"/>
        <v>18.3</v>
      </c>
      <c r="S25" s="72">
        <f t="shared" si="8"/>
        <v>0.5</v>
      </c>
      <c r="T25" s="52">
        <v>9.15</v>
      </c>
      <c r="U25" s="53">
        <v>22.875</v>
      </c>
      <c r="V25" s="54">
        <v>1.5</v>
      </c>
      <c r="X25" s="55"/>
    </row>
    <row r="26" spans="1:24" ht="15" thickBot="1">
      <c r="A26" s="397" t="s">
        <v>41</v>
      </c>
      <c r="B26" s="387"/>
      <c r="C26" s="388"/>
      <c r="D26" s="388"/>
      <c r="E26" s="389"/>
      <c r="F26" s="390"/>
      <c r="G26" s="390"/>
      <c r="H26" s="390"/>
      <c r="I26" s="390"/>
      <c r="J26" s="390"/>
      <c r="K26" s="390"/>
      <c r="L26" s="396"/>
      <c r="N26" s="73"/>
      <c r="O26" s="58"/>
      <c r="P26" s="58"/>
      <c r="Q26" s="58"/>
      <c r="R26" s="59"/>
      <c r="S26" s="60"/>
      <c r="T26" s="52"/>
      <c r="U26" s="53"/>
      <c r="V26" s="54"/>
      <c r="X26" s="55"/>
    </row>
    <row r="27" spans="1:24">
      <c r="A27" s="394" t="s">
        <v>19</v>
      </c>
      <c r="B27" s="298">
        <v>189168</v>
      </c>
      <c r="C27" s="299" t="s">
        <v>42</v>
      </c>
      <c r="D27" s="300">
        <v>11.88</v>
      </c>
      <c r="E27" s="301" t="s">
        <v>21</v>
      </c>
      <c r="F27" s="544">
        <f t="shared" ref="F27:K42" si="9">ROUND($L27*(1-F$7),2)</f>
        <v>54.3</v>
      </c>
      <c r="G27" s="544">
        <f t="shared" si="9"/>
        <v>55.32</v>
      </c>
      <c r="H27" s="544">
        <f t="shared" si="9"/>
        <v>56</v>
      </c>
      <c r="I27" s="544">
        <f t="shared" si="9"/>
        <v>56</v>
      </c>
      <c r="J27" s="544">
        <f t="shared" si="9"/>
        <v>57.63</v>
      </c>
      <c r="K27" s="544">
        <f t="shared" si="9"/>
        <v>64.489999999999995</v>
      </c>
      <c r="L27" s="551">
        <v>67.88</v>
      </c>
      <c r="N27" s="61" t="s">
        <v>12</v>
      </c>
      <c r="O27" s="62" t="s">
        <v>13</v>
      </c>
      <c r="P27" s="62" t="s">
        <v>31</v>
      </c>
      <c r="Q27" s="63" t="s">
        <v>11</v>
      </c>
      <c r="R27" s="64" t="s">
        <v>5</v>
      </c>
      <c r="S27" s="65"/>
      <c r="T27" s="52"/>
      <c r="U27" s="53"/>
      <c r="V27" s="54"/>
      <c r="X27" s="55"/>
    </row>
    <row r="28" spans="1:24">
      <c r="A28" s="394" t="s">
        <v>19</v>
      </c>
      <c r="B28" s="298">
        <v>189483</v>
      </c>
      <c r="C28" s="299" t="s">
        <v>43</v>
      </c>
      <c r="D28" s="300">
        <v>21.95</v>
      </c>
      <c r="E28" s="301" t="s">
        <v>21</v>
      </c>
      <c r="F28" s="544">
        <f t="shared" si="9"/>
        <v>95.83</v>
      </c>
      <c r="G28" s="544">
        <f t="shared" si="9"/>
        <v>97.63</v>
      </c>
      <c r="H28" s="544">
        <f t="shared" si="9"/>
        <v>98.83</v>
      </c>
      <c r="I28" s="544">
        <f t="shared" si="9"/>
        <v>98.83</v>
      </c>
      <c r="J28" s="544">
        <f t="shared" si="9"/>
        <v>101.7</v>
      </c>
      <c r="K28" s="544">
        <f t="shared" si="9"/>
        <v>113.8</v>
      </c>
      <c r="L28" s="551">
        <v>119.79</v>
      </c>
      <c r="N28" s="66">
        <v>41.14</v>
      </c>
      <c r="O28" s="47">
        <f t="shared" ref="O28:O51" si="10">+N28/D28*1000</f>
        <v>1874.2596810933942</v>
      </c>
      <c r="P28" s="48">
        <v>0.65</v>
      </c>
      <c r="Q28" s="49">
        <f t="shared" ref="Q28:Q51" si="11">+N28*(P28+1)</f>
        <v>67.881</v>
      </c>
      <c r="R28" s="50">
        <f t="shared" ref="R28:R54" si="12">ROUND($Q28*(1-R$7),2)</f>
        <v>54.3</v>
      </c>
      <c r="S28" s="60">
        <f t="shared" ref="S28:S54" si="13">(R28-N28)/R28</f>
        <v>0.24235727440147325</v>
      </c>
      <c r="T28" s="52">
        <v>41.14</v>
      </c>
      <c r="U28" s="53">
        <v>67.881</v>
      </c>
      <c r="V28" s="54">
        <v>0.65</v>
      </c>
      <c r="X28" s="55"/>
    </row>
    <row r="29" spans="1:24">
      <c r="A29" s="394" t="s">
        <v>19</v>
      </c>
      <c r="B29" s="298">
        <v>273709</v>
      </c>
      <c r="C29" s="299" t="s">
        <v>44</v>
      </c>
      <c r="D29" s="300">
        <v>24.08</v>
      </c>
      <c r="E29" s="301" t="s">
        <v>21</v>
      </c>
      <c r="F29" s="544">
        <f t="shared" si="9"/>
        <v>110.21</v>
      </c>
      <c r="G29" s="544">
        <f t="shared" si="9"/>
        <v>112.27</v>
      </c>
      <c r="H29" s="544">
        <f t="shared" si="9"/>
        <v>113.65</v>
      </c>
      <c r="I29" s="544">
        <f t="shared" si="9"/>
        <v>113.65</v>
      </c>
      <c r="J29" s="544">
        <f t="shared" si="9"/>
        <v>116.95</v>
      </c>
      <c r="K29" s="544">
        <f t="shared" si="9"/>
        <v>130.87</v>
      </c>
      <c r="L29" s="551">
        <v>137.76</v>
      </c>
      <c r="M29" s="74"/>
      <c r="N29" s="66">
        <v>72.599999999999994</v>
      </c>
      <c r="O29" s="47">
        <f t="shared" si="10"/>
        <v>3014.950166112957</v>
      </c>
      <c r="P29" s="48">
        <v>0.65</v>
      </c>
      <c r="Q29" s="49">
        <f t="shared" si="11"/>
        <v>119.78999999999998</v>
      </c>
      <c r="R29" s="50">
        <f t="shared" si="12"/>
        <v>95.83</v>
      </c>
      <c r="S29" s="60">
        <f t="shared" si="13"/>
        <v>0.24240843159762082</v>
      </c>
      <c r="T29" s="52">
        <v>72.599999999999994</v>
      </c>
      <c r="U29" s="53">
        <v>119.78999999999998</v>
      </c>
      <c r="V29" s="54">
        <v>0.65</v>
      </c>
      <c r="X29" s="55"/>
    </row>
    <row r="30" spans="1:24">
      <c r="A30" s="394" t="s">
        <v>19</v>
      </c>
      <c r="B30" s="298">
        <v>270872</v>
      </c>
      <c r="C30" s="299" t="s">
        <v>45</v>
      </c>
      <c r="D30" s="300">
        <v>4.62</v>
      </c>
      <c r="E30" s="301" t="s">
        <v>21</v>
      </c>
      <c r="F30" s="544">
        <f t="shared" si="9"/>
        <v>21.74</v>
      </c>
      <c r="G30" s="544">
        <f t="shared" si="9"/>
        <v>22.14</v>
      </c>
      <c r="H30" s="544">
        <f t="shared" si="9"/>
        <v>22.41</v>
      </c>
      <c r="I30" s="544">
        <f t="shared" si="9"/>
        <v>22.41</v>
      </c>
      <c r="J30" s="544">
        <f t="shared" si="9"/>
        <v>23.07</v>
      </c>
      <c r="K30" s="544">
        <f t="shared" si="9"/>
        <v>25.81</v>
      </c>
      <c r="L30" s="551">
        <v>27.169451476793245</v>
      </c>
      <c r="M30" s="75"/>
      <c r="N30" s="66">
        <v>83.49</v>
      </c>
      <c r="O30" s="47">
        <f t="shared" si="10"/>
        <v>18071.428571428569</v>
      </c>
      <c r="P30" s="48">
        <v>0.65</v>
      </c>
      <c r="Q30" s="49">
        <f t="shared" si="11"/>
        <v>137.7585</v>
      </c>
      <c r="R30" s="50">
        <f t="shared" si="12"/>
        <v>110.21</v>
      </c>
      <c r="S30" s="60">
        <f t="shared" si="13"/>
        <v>0.24244623899827603</v>
      </c>
      <c r="T30" s="52">
        <v>83.49</v>
      </c>
      <c r="U30" s="53">
        <v>137.7585</v>
      </c>
      <c r="V30" s="54">
        <v>0.65</v>
      </c>
      <c r="X30" s="55"/>
    </row>
    <row r="31" spans="1:24">
      <c r="A31" s="394" t="s">
        <v>19</v>
      </c>
      <c r="B31" s="298">
        <v>270873</v>
      </c>
      <c r="C31" s="473" t="s">
        <v>46</v>
      </c>
      <c r="D31" s="300">
        <v>4.43</v>
      </c>
      <c r="E31" s="301" t="s">
        <v>21</v>
      </c>
      <c r="F31" s="544">
        <f t="shared" si="9"/>
        <v>19.23</v>
      </c>
      <c r="G31" s="544">
        <f t="shared" si="9"/>
        <v>19.59</v>
      </c>
      <c r="H31" s="544">
        <f t="shared" si="9"/>
        <v>19.829999999999998</v>
      </c>
      <c r="I31" s="544">
        <f t="shared" si="9"/>
        <v>19.829999999999998</v>
      </c>
      <c r="J31" s="544">
        <f t="shared" si="9"/>
        <v>20.399999999999999</v>
      </c>
      <c r="K31" s="544">
        <f t="shared" si="9"/>
        <v>22.83</v>
      </c>
      <c r="L31" s="551">
        <v>24.032658227848099</v>
      </c>
      <c r="M31" s="75"/>
      <c r="N31" s="66">
        <v>36.299999999999997</v>
      </c>
      <c r="O31" s="47">
        <f t="shared" si="10"/>
        <v>8194.1309255079013</v>
      </c>
      <c r="P31" s="48">
        <v>0.65</v>
      </c>
      <c r="Q31" s="49">
        <f t="shared" si="11"/>
        <v>59.894999999999989</v>
      </c>
      <c r="R31" s="50">
        <f t="shared" si="12"/>
        <v>47.92</v>
      </c>
      <c r="S31" s="60">
        <f t="shared" si="13"/>
        <v>0.24248747913188656</v>
      </c>
      <c r="T31" s="52">
        <v>36.299999999999997</v>
      </c>
      <c r="U31" s="53">
        <v>59.894999999999989</v>
      </c>
      <c r="V31" s="54">
        <v>0.65</v>
      </c>
      <c r="X31" s="55"/>
    </row>
    <row r="32" spans="1:24">
      <c r="A32" s="394" t="s">
        <v>19</v>
      </c>
      <c r="B32" s="298">
        <v>270874</v>
      </c>
      <c r="C32" s="299" t="s">
        <v>47</v>
      </c>
      <c r="D32" s="300">
        <v>7.29</v>
      </c>
      <c r="E32" s="301" t="s">
        <v>21</v>
      </c>
      <c r="F32" s="544">
        <f t="shared" si="9"/>
        <v>28.72</v>
      </c>
      <c r="G32" s="544">
        <f t="shared" si="9"/>
        <v>29.25</v>
      </c>
      <c r="H32" s="544">
        <f t="shared" si="9"/>
        <v>29.61</v>
      </c>
      <c r="I32" s="544">
        <f t="shared" si="9"/>
        <v>29.61</v>
      </c>
      <c r="J32" s="544">
        <f t="shared" si="9"/>
        <v>30.47</v>
      </c>
      <c r="K32" s="544">
        <f t="shared" si="9"/>
        <v>34.1</v>
      </c>
      <c r="L32" s="551">
        <v>35.895443037974687</v>
      </c>
      <c r="N32" s="66">
        <v>18.754999999999999</v>
      </c>
      <c r="O32" s="47">
        <f t="shared" si="10"/>
        <v>2572.702331961591</v>
      </c>
      <c r="P32" s="48">
        <v>0.65</v>
      </c>
      <c r="Q32" s="49">
        <f t="shared" si="11"/>
        <v>30.945749999999997</v>
      </c>
      <c r="R32" s="50">
        <f t="shared" si="12"/>
        <v>24.76</v>
      </c>
      <c r="S32" s="60">
        <f t="shared" si="13"/>
        <v>0.24252827140549282</v>
      </c>
      <c r="T32" s="52">
        <v>18.754999999999999</v>
      </c>
      <c r="U32" s="53">
        <v>30.945749999999997</v>
      </c>
      <c r="V32" s="54">
        <v>0.65</v>
      </c>
      <c r="X32" s="55"/>
    </row>
    <row r="33" spans="1:24">
      <c r="A33" s="394" t="s">
        <v>19</v>
      </c>
      <c r="B33" s="298">
        <v>270876</v>
      </c>
      <c r="C33" s="299" t="s">
        <v>48</v>
      </c>
      <c r="D33" s="300">
        <v>7.3</v>
      </c>
      <c r="E33" s="301" t="s">
        <v>21</v>
      </c>
      <c r="F33" s="544">
        <f t="shared" si="9"/>
        <v>28.45</v>
      </c>
      <c r="G33" s="544">
        <f t="shared" si="9"/>
        <v>28.98</v>
      </c>
      <c r="H33" s="544">
        <f t="shared" si="9"/>
        <v>29.34</v>
      </c>
      <c r="I33" s="544">
        <f t="shared" si="9"/>
        <v>29.34</v>
      </c>
      <c r="J33" s="544">
        <f t="shared" si="9"/>
        <v>30.19</v>
      </c>
      <c r="K33" s="544">
        <f t="shared" si="9"/>
        <v>33.78</v>
      </c>
      <c r="L33" s="551">
        <v>35.558649789029538</v>
      </c>
      <c r="N33" s="66">
        <v>45.98</v>
      </c>
      <c r="O33" s="47">
        <f t="shared" si="10"/>
        <v>6298.6301369863004</v>
      </c>
      <c r="P33" s="48">
        <v>0.65</v>
      </c>
      <c r="Q33" s="49">
        <f t="shared" si="11"/>
        <v>75.86699999999999</v>
      </c>
      <c r="R33" s="50">
        <f t="shared" si="12"/>
        <v>60.69</v>
      </c>
      <c r="S33" s="60">
        <f t="shared" si="13"/>
        <v>0.24237930466304172</v>
      </c>
      <c r="T33" s="52">
        <v>45.98</v>
      </c>
      <c r="U33" s="53">
        <v>75.86699999999999</v>
      </c>
      <c r="V33" s="54">
        <v>0.65</v>
      </c>
      <c r="X33" s="55"/>
    </row>
    <row r="34" spans="1:24">
      <c r="A34" s="399" t="s">
        <v>378</v>
      </c>
      <c r="B34" s="400">
        <v>665190</v>
      </c>
      <c r="C34" s="401" t="s">
        <v>49</v>
      </c>
      <c r="D34" s="300">
        <v>9.48</v>
      </c>
      <c r="E34" s="301" t="s">
        <v>21</v>
      </c>
      <c r="F34" s="544">
        <f t="shared" si="9"/>
        <v>77.94</v>
      </c>
      <c r="G34" s="544">
        <f t="shared" si="9"/>
        <v>79.400000000000006</v>
      </c>
      <c r="H34" s="544">
        <f t="shared" si="9"/>
        <v>80.37</v>
      </c>
      <c r="I34" s="544">
        <f t="shared" si="9"/>
        <v>80.37</v>
      </c>
      <c r="J34" s="544">
        <f t="shared" si="9"/>
        <v>82.71</v>
      </c>
      <c r="K34" s="544">
        <f t="shared" si="9"/>
        <v>92.55</v>
      </c>
      <c r="L34" s="552">
        <v>97.42</v>
      </c>
      <c r="M34" s="75"/>
      <c r="N34" s="66">
        <v>27.83</v>
      </c>
      <c r="O34" s="47">
        <f t="shared" si="10"/>
        <v>2935.654008438818</v>
      </c>
      <c r="P34" s="48">
        <v>0.65</v>
      </c>
      <c r="Q34" s="49">
        <f>+N34*(P34+1)</f>
        <v>45.919499999999992</v>
      </c>
      <c r="R34" s="50">
        <f t="shared" si="12"/>
        <v>36.74</v>
      </c>
      <c r="S34" s="60">
        <f t="shared" si="13"/>
        <v>0.24251497005988032</v>
      </c>
      <c r="T34" s="52">
        <v>27.83</v>
      </c>
      <c r="U34" s="53">
        <v>45.919499999999992</v>
      </c>
      <c r="V34" s="54">
        <v>0.65</v>
      </c>
      <c r="X34" s="55"/>
    </row>
    <row r="35" spans="1:24">
      <c r="A35" s="399" t="s">
        <v>378</v>
      </c>
      <c r="B35" s="400">
        <v>270526</v>
      </c>
      <c r="C35" s="401" t="s">
        <v>50</v>
      </c>
      <c r="D35" s="300">
        <v>13.73</v>
      </c>
      <c r="E35" s="301" t="s">
        <v>21</v>
      </c>
      <c r="F35" s="544">
        <f t="shared" si="9"/>
        <v>58.16</v>
      </c>
      <c r="G35" s="544">
        <f t="shared" si="9"/>
        <v>59.25</v>
      </c>
      <c r="H35" s="544">
        <f t="shared" si="9"/>
        <v>59.98</v>
      </c>
      <c r="I35" s="544">
        <f t="shared" si="9"/>
        <v>59.98</v>
      </c>
      <c r="J35" s="544">
        <f t="shared" si="9"/>
        <v>61.72</v>
      </c>
      <c r="K35" s="544">
        <f t="shared" si="9"/>
        <v>69.069999999999993</v>
      </c>
      <c r="L35" s="552">
        <v>72.699999999999989</v>
      </c>
      <c r="N35" s="66">
        <v>60.5</v>
      </c>
      <c r="O35" s="47">
        <f t="shared" si="10"/>
        <v>4406.4093226511286</v>
      </c>
      <c r="P35" s="48">
        <v>0.7</v>
      </c>
      <c r="Q35" s="49">
        <f t="shared" si="11"/>
        <v>102.85</v>
      </c>
      <c r="R35" s="50">
        <f t="shared" si="12"/>
        <v>82.28</v>
      </c>
      <c r="S35" s="60">
        <f t="shared" si="13"/>
        <v>0.26470588235294118</v>
      </c>
      <c r="T35" s="52">
        <v>60.5</v>
      </c>
      <c r="U35" s="53">
        <v>102.85</v>
      </c>
      <c r="V35" s="54">
        <v>0.7</v>
      </c>
      <c r="X35" s="55"/>
    </row>
    <row r="36" spans="1:24">
      <c r="A36" s="399" t="s">
        <v>378</v>
      </c>
      <c r="B36" s="400">
        <v>270527</v>
      </c>
      <c r="C36" s="401" t="s">
        <v>51</v>
      </c>
      <c r="D36" s="300">
        <v>16.93</v>
      </c>
      <c r="E36" s="301" t="s">
        <v>21</v>
      </c>
      <c r="F36" s="544">
        <f t="shared" si="9"/>
        <v>68.459999999999994</v>
      </c>
      <c r="G36" s="544">
        <f t="shared" si="9"/>
        <v>69.739999999999995</v>
      </c>
      <c r="H36" s="544">
        <f t="shared" si="9"/>
        <v>70.599999999999994</v>
      </c>
      <c r="I36" s="544">
        <f t="shared" si="9"/>
        <v>70.599999999999994</v>
      </c>
      <c r="J36" s="544">
        <f t="shared" si="9"/>
        <v>72.650000000000006</v>
      </c>
      <c r="K36" s="544">
        <f t="shared" si="9"/>
        <v>81.290000000000006</v>
      </c>
      <c r="L36" s="552">
        <v>85.57274261603375</v>
      </c>
      <c r="N36" s="66">
        <v>42.35</v>
      </c>
      <c r="O36" s="47">
        <f t="shared" si="10"/>
        <v>2501.4766686355583</v>
      </c>
      <c r="P36" s="48">
        <v>0.7</v>
      </c>
      <c r="Q36" s="49">
        <f t="shared" si="11"/>
        <v>71.995000000000005</v>
      </c>
      <c r="R36" s="50">
        <f t="shared" si="12"/>
        <v>57.6</v>
      </c>
      <c r="S36" s="60">
        <f t="shared" si="13"/>
        <v>0.26475694444444442</v>
      </c>
      <c r="T36" s="52">
        <v>42.35</v>
      </c>
      <c r="U36" s="53">
        <v>71.995000000000005</v>
      </c>
      <c r="V36" s="54">
        <v>0.7</v>
      </c>
      <c r="X36" s="55"/>
    </row>
    <row r="37" spans="1:24">
      <c r="A37" s="399" t="s">
        <v>378</v>
      </c>
      <c r="B37" s="400">
        <v>270877</v>
      </c>
      <c r="C37" s="401" t="s">
        <v>52</v>
      </c>
      <c r="D37" s="300">
        <v>31.45</v>
      </c>
      <c r="E37" s="301" t="s">
        <v>21</v>
      </c>
      <c r="F37" s="544">
        <f t="shared" si="9"/>
        <v>128.51</v>
      </c>
      <c r="G37" s="544">
        <f t="shared" si="9"/>
        <v>130.91999999999999</v>
      </c>
      <c r="H37" s="544">
        <f t="shared" si="9"/>
        <v>132.52000000000001</v>
      </c>
      <c r="I37" s="544">
        <f t="shared" si="9"/>
        <v>132.52000000000001</v>
      </c>
      <c r="J37" s="544">
        <f t="shared" si="9"/>
        <v>136.37</v>
      </c>
      <c r="K37" s="544">
        <f t="shared" si="9"/>
        <v>152.6</v>
      </c>
      <c r="L37" s="552">
        <v>160.6333333333333</v>
      </c>
      <c r="N37" s="66">
        <v>49.94</v>
      </c>
      <c r="O37" s="47">
        <f t="shared" si="10"/>
        <v>1587.9173290937995</v>
      </c>
      <c r="P37" s="48">
        <v>0.7</v>
      </c>
      <c r="Q37" s="49">
        <f t="shared" si="11"/>
        <v>84.897999999999996</v>
      </c>
      <c r="R37" s="50">
        <f t="shared" si="12"/>
        <v>67.92</v>
      </c>
      <c r="S37" s="60">
        <f t="shared" si="13"/>
        <v>0.26472320376914021</v>
      </c>
      <c r="T37" s="52">
        <v>49.94</v>
      </c>
      <c r="U37" s="53">
        <v>84.897999999999996</v>
      </c>
      <c r="V37" s="54">
        <v>0.7</v>
      </c>
      <c r="X37" s="55"/>
    </row>
    <row r="38" spans="1:24">
      <c r="A38" s="394" t="s">
        <v>19</v>
      </c>
      <c r="B38" s="298">
        <v>189161</v>
      </c>
      <c r="C38" s="299" t="s">
        <v>53</v>
      </c>
      <c r="D38" s="300">
        <v>1.64</v>
      </c>
      <c r="E38" s="301" t="s">
        <v>21</v>
      </c>
      <c r="F38" s="544">
        <f t="shared" si="9"/>
        <v>34.58</v>
      </c>
      <c r="G38" s="544">
        <f t="shared" si="9"/>
        <v>35.229999999999997</v>
      </c>
      <c r="H38" s="544">
        <f t="shared" si="9"/>
        <v>35.659999999999997</v>
      </c>
      <c r="I38" s="544">
        <f t="shared" si="9"/>
        <v>35.659999999999997</v>
      </c>
      <c r="J38" s="544">
        <f t="shared" si="9"/>
        <v>36.700000000000003</v>
      </c>
      <c r="K38" s="544">
        <f t="shared" si="9"/>
        <v>41.07</v>
      </c>
      <c r="L38" s="551">
        <v>43.23</v>
      </c>
      <c r="N38" s="66">
        <v>100.65</v>
      </c>
      <c r="O38" s="47">
        <f t="shared" si="10"/>
        <v>61371.951219512208</v>
      </c>
      <c r="P38" s="48">
        <v>0.65</v>
      </c>
      <c r="Q38" s="49">
        <f t="shared" si="11"/>
        <v>166.07249999999999</v>
      </c>
      <c r="R38" s="50">
        <f t="shared" si="12"/>
        <v>132.86000000000001</v>
      </c>
      <c r="S38" s="60">
        <f t="shared" si="13"/>
        <v>0.24243564654523561</v>
      </c>
      <c r="T38" s="52">
        <v>100.65</v>
      </c>
      <c r="U38" s="53">
        <v>166.07249999999999</v>
      </c>
      <c r="V38" s="54">
        <v>0.65</v>
      </c>
      <c r="X38" s="55"/>
    </row>
    <row r="39" spans="1:24">
      <c r="A39" s="394" t="s">
        <v>19</v>
      </c>
      <c r="B39" s="298">
        <v>189186</v>
      </c>
      <c r="C39" s="299" t="s">
        <v>54</v>
      </c>
      <c r="D39" s="300">
        <v>1.7</v>
      </c>
      <c r="E39" s="301" t="s">
        <v>21</v>
      </c>
      <c r="F39" s="544">
        <f t="shared" si="9"/>
        <v>24.2</v>
      </c>
      <c r="G39" s="544">
        <f t="shared" si="9"/>
        <v>24.65</v>
      </c>
      <c r="H39" s="544">
        <f t="shared" si="9"/>
        <v>24.96</v>
      </c>
      <c r="I39" s="544">
        <f t="shared" si="9"/>
        <v>24.96</v>
      </c>
      <c r="J39" s="544">
        <f t="shared" si="9"/>
        <v>25.68</v>
      </c>
      <c r="K39" s="544">
        <f t="shared" si="9"/>
        <v>28.74</v>
      </c>
      <c r="L39" s="551">
        <v>30.25</v>
      </c>
      <c r="N39" s="66">
        <v>13.309999999999999</v>
      </c>
      <c r="O39" s="47">
        <f t="shared" si="10"/>
        <v>7829.411764705882</v>
      </c>
      <c r="P39" s="48">
        <v>2.2482924242896791</v>
      </c>
      <c r="Q39" s="49">
        <f t="shared" si="11"/>
        <v>43.234772167295624</v>
      </c>
      <c r="R39" s="50">
        <f t="shared" si="12"/>
        <v>34.590000000000003</v>
      </c>
      <c r="S39" s="60">
        <f t="shared" si="13"/>
        <v>0.61520670714079218</v>
      </c>
      <c r="T39" s="52">
        <v>13.309999999999999</v>
      </c>
      <c r="U39" s="53">
        <v>43.234772167295624</v>
      </c>
      <c r="V39" s="54">
        <v>2.2482924242896791</v>
      </c>
      <c r="X39" s="55"/>
    </row>
    <row r="40" spans="1:24">
      <c r="A40" s="394" t="s">
        <v>19</v>
      </c>
      <c r="B40" s="298">
        <v>270512</v>
      </c>
      <c r="C40" s="299" t="s">
        <v>55</v>
      </c>
      <c r="D40" s="300">
        <v>2.59</v>
      </c>
      <c r="E40" s="301" t="s">
        <v>21</v>
      </c>
      <c r="F40" s="544">
        <f t="shared" si="9"/>
        <v>24.03</v>
      </c>
      <c r="G40" s="544">
        <f t="shared" si="9"/>
        <v>24.48</v>
      </c>
      <c r="H40" s="544">
        <f t="shared" si="9"/>
        <v>24.78</v>
      </c>
      <c r="I40" s="544">
        <f t="shared" si="9"/>
        <v>24.78</v>
      </c>
      <c r="J40" s="544">
        <f t="shared" si="9"/>
        <v>25.5</v>
      </c>
      <c r="K40" s="544">
        <f t="shared" si="9"/>
        <v>28.54</v>
      </c>
      <c r="L40" s="551">
        <v>30.04</v>
      </c>
      <c r="N40" s="66">
        <v>12.1</v>
      </c>
      <c r="O40" s="47">
        <f t="shared" si="10"/>
        <v>4671.8146718146718</v>
      </c>
      <c r="P40" s="48">
        <v>1.5</v>
      </c>
      <c r="Q40" s="49">
        <f t="shared" si="11"/>
        <v>30.25</v>
      </c>
      <c r="R40" s="50">
        <f t="shared" si="12"/>
        <v>24.2</v>
      </c>
      <c r="S40" s="60">
        <f t="shared" si="13"/>
        <v>0.5</v>
      </c>
      <c r="T40" s="52">
        <v>12.1</v>
      </c>
      <c r="U40" s="53">
        <v>30.25</v>
      </c>
      <c r="V40" s="54">
        <v>1.5</v>
      </c>
      <c r="X40" s="55"/>
    </row>
    <row r="41" spans="1:24">
      <c r="A41" s="394" t="s">
        <v>19</v>
      </c>
      <c r="B41" s="298">
        <v>272173</v>
      </c>
      <c r="C41" s="299" t="s">
        <v>56</v>
      </c>
      <c r="D41" s="300">
        <v>0.03</v>
      </c>
      <c r="E41" s="301" t="s">
        <v>21</v>
      </c>
      <c r="F41" s="544">
        <f t="shared" si="9"/>
        <v>0.91</v>
      </c>
      <c r="G41" s="544">
        <f t="shared" si="9"/>
        <v>0.92</v>
      </c>
      <c r="H41" s="544">
        <f t="shared" si="9"/>
        <v>0.93</v>
      </c>
      <c r="I41" s="544">
        <f t="shared" si="9"/>
        <v>0.93</v>
      </c>
      <c r="J41" s="544">
        <f t="shared" si="9"/>
        <v>0.96</v>
      </c>
      <c r="K41" s="544">
        <f t="shared" si="9"/>
        <v>1.08</v>
      </c>
      <c r="L41" s="552">
        <v>1.1330801687763714</v>
      </c>
      <c r="N41" s="66">
        <v>15.73</v>
      </c>
      <c r="O41" s="47">
        <f t="shared" si="10"/>
        <v>524333.33333333337</v>
      </c>
      <c r="P41" s="48">
        <v>0.91</v>
      </c>
      <c r="Q41" s="49">
        <f t="shared" si="11"/>
        <v>30.044300000000003</v>
      </c>
      <c r="R41" s="50">
        <f t="shared" si="12"/>
        <v>24.04</v>
      </c>
      <c r="S41" s="60">
        <f t="shared" si="13"/>
        <v>0.34567387687188017</v>
      </c>
      <c r="T41" s="52">
        <v>15.73</v>
      </c>
      <c r="U41" s="53">
        <v>30.044300000000003</v>
      </c>
      <c r="V41" s="54">
        <v>0.91</v>
      </c>
      <c r="X41" s="55"/>
    </row>
    <row r="42" spans="1:24">
      <c r="A42" s="394" t="s">
        <v>19</v>
      </c>
      <c r="B42" s="298">
        <v>189162</v>
      </c>
      <c r="C42" s="299" t="s">
        <v>57</v>
      </c>
      <c r="D42" s="300">
        <v>1E-3</v>
      </c>
      <c r="E42" s="301" t="s">
        <v>35</v>
      </c>
      <c r="F42" s="544">
        <f t="shared" si="9"/>
        <v>0.48</v>
      </c>
      <c r="G42" s="544">
        <f t="shared" si="9"/>
        <v>0.49</v>
      </c>
      <c r="H42" s="544">
        <f t="shared" si="9"/>
        <v>0.5</v>
      </c>
      <c r="I42" s="544">
        <f t="shared" si="9"/>
        <v>0.5</v>
      </c>
      <c r="J42" s="544">
        <f t="shared" si="9"/>
        <v>0.51</v>
      </c>
      <c r="K42" s="544">
        <f t="shared" si="9"/>
        <v>0.56999999999999995</v>
      </c>
      <c r="L42" s="551">
        <v>0.6</v>
      </c>
      <c r="N42" s="66">
        <v>0.50819999999999999</v>
      </c>
      <c r="O42" s="47">
        <f>+N42/D42*1000</f>
        <v>508200</v>
      </c>
      <c r="P42" s="48">
        <v>0.9</v>
      </c>
      <c r="Q42" s="49">
        <f>+N42*(P42+1)</f>
        <v>0.96557999999999988</v>
      </c>
      <c r="R42" s="50">
        <f t="shared" si="12"/>
        <v>0.77</v>
      </c>
      <c r="S42" s="60">
        <f t="shared" si="13"/>
        <v>0.34</v>
      </c>
      <c r="T42" s="52">
        <v>0.50819999999999999</v>
      </c>
      <c r="U42" s="53">
        <v>0.96557999999999988</v>
      </c>
      <c r="V42" s="54">
        <v>0.9</v>
      </c>
      <c r="X42" s="55"/>
    </row>
    <row r="43" spans="1:24">
      <c r="A43" s="394" t="s">
        <v>19</v>
      </c>
      <c r="B43" s="298">
        <v>189488</v>
      </c>
      <c r="C43" s="299" t="s">
        <v>58</v>
      </c>
      <c r="D43" s="300">
        <v>0.04</v>
      </c>
      <c r="E43" s="301" t="s">
        <v>35</v>
      </c>
      <c r="F43" s="544">
        <f t="shared" ref="F43:K58" si="14">ROUND($L43*(1-F$7),2)</f>
        <v>1.23</v>
      </c>
      <c r="G43" s="544">
        <f t="shared" si="14"/>
        <v>1.26</v>
      </c>
      <c r="H43" s="544">
        <f t="shared" si="14"/>
        <v>1.27</v>
      </c>
      <c r="I43" s="544">
        <f t="shared" si="14"/>
        <v>1.27</v>
      </c>
      <c r="J43" s="544">
        <f t="shared" si="14"/>
        <v>1.31</v>
      </c>
      <c r="K43" s="544">
        <f t="shared" si="14"/>
        <v>1.46</v>
      </c>
      <c r="L43" s="551">
        <v>1.54</v>
      </c>
      <c r="N43" s="66">
        <v>0.23</v>
      </c>
      <c r="O43" s="47">
        <f>+N43/D43*1000</f>
        <v>5750</v>
      </c>
      <c r="P43" s="48">
        <v>1.6</v>
      </c>
      <c r="Q43" s="49">
        <f>+N43*(P43+1)</f>
        <v>0.59800000000000009</v>
      </c>
      <c r="R43" s="50">
        <f t="shared" si="12"/>
        <v>0.48</v>
      </c>
      <c r="S43" s="60">
        <f t="shared" si="13"/>
        <v>0.52083333333333326</v>
      </c>
      <c r="T43" s="52">
        <v>0.23</v>
      </c>
      <c r="U43" s="53">
        <v>0.59800000000000009</v>
      </c>
      <c r="V43" s="54">
        <v>1.6</v>
      </c>
      <c r="X43" s="55"/>
    </row>
    <row r="44" spans="1:24">
      <c r="A44" s="394" t="s">
        <v>19</v>
      </c>
      <c r="B44" s="298">
        <v>189197</v>
      </c>
      <c r="C44" s="299" t="s">
        <v>346</v>
      </c>
      <c r="D44" s="300">
        <v>0.03</v>
      </c>
      <c r="E44" s="301" t="s">
        <v>35</v>
      </c>
      <c r="F44" s="544">
        <f t="shared" si="14"/>
        <v>1.5</v>
      </c>
      <c r="G44" s="544">
        <f t="shared" si="14"/>
        <v>1.52</v>
      </c>
      <c r="H44" s="544">
        <f t="shared" si="14"/>
        <v>1.54</v>
      </c>
      <c r="I44" s="544">
        <f t="shared" si="14"/>
        <v>1.54</v>
      </c>
      <c r="J44" s="544">
        <f t="shared" si="14"/>
        <v>1.59</v>
      </c>
      <c r="K44" s="544">
        <f t="shared" si="14"/>
        <v>1.78</v>
      </c>
      <c r="L44" s="551">
        <v>1.87</v>
      </c>
      <c r="N44" s="66">
        <v>0.36707000000000001</v>
      </c>
      <c r="O44" s="47">
        <f>+N44/D44*1000</f>
        <v>12235.666666666666</v>
      </c>
      <c r="P44" s="48">
        <v>3.2</v>
      </c>
      <c r="Q44" s="49">
        <f>+N44*(P44+1)</f>
        <v>1.5416940000000001</v>
      </c>
      <c r="R44" s="50">
        <f t="shared" si="12"/>
        <v>1.23</v>
      </c>
      <c r="S44" s="60">
        <f t="shared" si="13"/>
        <v>0.7015691056910569</v>
      </c>
      <c r="T44" s="52">
        <v>0.36707000000000001</v>
      </c>
      <c r="U44" s="53">
        <v>1.5416940000000001</v>
      </c>
      <c r="V44" s="54">
        <v>3.2</v>
      </c>
      <c r="X44" s="55"/>
    </row>
    <row r="45" spans="1:24">
      <c r="A45" s="394" t="s">
        <v>19</v>
      </c>
      <c r="B45" s="298">
        <v>189196</v>
      </c>
      <c r="C45" s="299" t="s">
        <v>347</v>
      </c>
      <c r="D45" s="300">
        <v>0.09</v>
      </c>
      <c r="E45" s="301" t="s">
        <v>35</v>
      </c>
      <c r="F45" s="544">
        <f t="shared" si="14"/>
        <v>1.84</v>
      </c>
      <c r="G45" s="544">
        <f t="shared" si="14"/>
        <v>1.87</v>
      </c>
      <c r="H45" s="544">
        <f t="shared" si="14"/>
        <v>1.9</v>
      </c>
      <c r="I45" s="544">
        <f t="shared" si="14"/>
        <v>1.9</v>
      </c>
      <c r="J45" s="544">
        <f t="shared" si="14"/>
        <v>1.95</v>
      </c>
      <c r="K45" s="544">
        <f t="shared" si="14"/>
        <v>2.19</v>
      </c>
      <c r="L45" s="551">
        <v>2.2999999999999998</v>
      </c>
      <c r="N45" s="66">
        <v>0.89145000000000008</v>
      </c>
      <c r="O45" s="47">
        <f>+N45/D45*1000</f>
        <v>9905.0000000000018</v>
      </c>
      <c r="P45" s="48">
        <v>1.1000000000000001</v>
      </c>
      <c r="Q45" s="49">
        <f>+N45*(P45+1)</f>
        <v>1.8720450000000002</v>
      </c>
      <c r="R45" s="50">
        <f t="shared" si="12"/>
        <v>1.5</v>
      </c>
      <c r="S45" s="60">
        <f t="shared" si="13"/>
        <v>0.40569999999999995</v>
      </c>
      <c r="T45" s="52">
        <v>0.89145000000000008</v>
      </c>
      <c r="U45" s="53">
        <v>1.8720450000000002</v>
      </c>
      <c r="V45" s="54">
        <v>1.1000000000000001</v>
      </c>
      <c r="X45" s="55"/>
    </row>
    <row r="46" spans="1:24">
      <c r="A46" s="394" t="s">
        <v>19</v>
      </c>
      <c r="B46" s="298">
        <v>270501</v>
      </c>
      <c r="C46" s="473" t="s">
        <v>37</v>
      </c>
      <c r="D46" s="300">
        <v>0.02</v>
      </c>
      <c r="E46" s="301" t="s">
        <v>35</v>
      </c>
      <c r="F46" s="544">
        <f t="shared" si="14"/>
        <v>0.7</v>
      </c>
      <c r="G46" s="544">
        <f t="shared" si="14"/>
        <v>0.72</v>
      </c>
      <c r="H46" s="544">
        <f t="shared" si="14"/>
        <v>0.73</v>
      </c>
      <c r="I46" s="544">
        <f t="shared" si="14"/>
        <v>0.73</v>
      </c>
      <c r="J46" s="544">
        <f t="shared" si="14"/>
        <v>0.75</v>
      </c>
      <c r="K46" s="544">
        <f t="shared" si="14"/>
        <v>0.84</v>
      </c>
      <c r="L46" s="552">
        <v>0.87915611814345995</v>
      </c>
      <c r="N46" s="66">
        <v>1.21</v>
      </c>
      <c r="O46" s="47">
        <f t="shared" si="10"/>
        <v>60500</v>
      </c>
      <c r="P46" s="48">
        <v>0.9</v>
      </c>
      <c r="Q46" s="49">
        <f t="shared" si="11"/>
        <v>2.2989999999999999</v>
      </c>
      <c r="R46" s="50">
        <f t="shared" si="12"/>
        <v>1.84</v>
      </c>
      <c r="S46" s="60">
        <f t="shared" si="13"/>
        <v>0.34239130434782611</v>
      </c>
      <c r="T46" s="52">
        <v>1.21</v>
      </c>
      <c r="U46" s="53">
        <v>2.2989999999999999</v>
      </c>
      <c r="V46" s="54">
        <v>0.9</v>
      </c>
      <c r="X46" s="55"/>
    </row>
    <row r="47" spans="1:24">
      <c r="A47" s="394" t="s">
        <v>19</v>
      </c>
      <c r="B47" s="298">
        <v>270502</v>
      </c>
      <c r="C47" s="299" t="s">
        <v>38</v>
      </c>
      <c r="D47" s="300">
        <v>0.03</v>
      </c>
      <c r="E47" s="301" t="s">
        <v>35</v>
      </c>
      <c r="F47" s="544">
        <f t="shared" si="14"/>
        <v>0.74</v>
      </c>
      <c r="G47" s="544">
        <f t="shared" si="14"/>
        <v>0.76</v>
      </c>
      <c r="H47" s="544">
        <f t="shared" si="14"/>
        <v>0.77</v>
      </c>
      <c r="I47" s="544">
        <f t="shared" si="14"/>
        <v>0.77</v>
      </c>
      <c r="J47" s="544">
        <f t="shared" si="14"/>
        <v>0.79</v>
      </c>
      <c r="K47" s="544">
        <f t="shared" si="14"/>
        <v>0.88</v>
      </c>
      <c r="L47" s="551">
        <v>0.93</v>
      </c>
      <c r="N47" s="66">
        <v>0.49</v>
      </c>
      <c r="O47" s="47">
        <f t="shared" si="10"/>
        <v>16333.333333333332</v>
      </c>
      <c r="P47" s="48">
        <v>0.75</v>
      </c>
      <c r="Q47" s="49">
        <f t="shared" si="11"/>
        <v>0.85749999999999993</v>
      </c>
      <c r="R47" s="50">
        <f t="shared" si="12"/>
        <v>0.69</v>
      </c>
      <c r="S47" s="60">
        <f t="shared" si="13"/>
        <v>0.28985507246376807</v>
      </c>
      <c r="T47" s="52">
        <v>0.49</v>
      </c>
      <c r="U47" s="53">
        <v>0.85749999999999993</v>
      </c>
      <c r="V47" s="54">
        <v>0.75</v>
      </c>
      <c r="X47" s="55"/>
    </row>
    <row r="48" spans="1:24">
      <c r="A48" s="394" t="s">
        <v>19</v>
      </c>
      <c r="B48" s="298">
        <v>270503</v>
      </c>
      <c r="C48" s="299" t="s">
        <v>59</v>
      </c>
      <c r="D48" s="300">
        <v>3.3000000000000002E-2</v>
      </c>
      <c r="E48" s="301" t="s">
        <v>35</v>
      </c>
      <c r="F48" s="544">
        <f t="shared" si="14"/>
        <v>0.97</v>
      </c>
      <c r="G48" s="544">
        <f t="shared" si="14"/>
        <v>0.99</v>
      </c>
      <c r="H48" s="544">
        <f t="shared" si="14"/>
        <v>1</v>
      </c>
      <c r="I48" s="544">
        <f t="shared" si="14"/>
        <v>1</v>
      </c>
      <c r="J48" s="544">
        <f t="shared" si="14"/>
        <v>1.03</v>
      </c>
      <c r="K48" s="544">
        <f t="shared" si="14"/>
        <v>1.1499999999999999</v>
      </c>
      <c r="L48" s="551">
        <v>1.21</v>
      </c>
      <c r="N48" s="66">
        <v>0.53</v>
      </c>
      <c r="O48" s="47">
        <f t="shared" si="10"/>
        <v>16060.606060606062</v>
      </c>
      <c r="P48" s="48">
        <v>0.75</v>
      </c>
      <c r="Q48" s="49">
        <f t="shared" si="11"/>
        <v>0.92749999999999999</v>
      </c>
      <c r="R48" s="50">
        <f t="shared" si="12"/>
        <v>0.74</v>
      </c>
      <c r="S48" s="60">
        <f t="shared" si="13"/>
        <v>0.28378378378378372</v>
      </c>
      <c r="T48" s="52">
        <v>0.53</v>
      </c>
      <c r="U48" s="53">
        <v>0.92749999999999999</v>
      </c>
      <c r="V48" s="54">
        <v>0.75</v>
      </c>
      <c r="X48" s="55"/>
    </row>
    <row r="49" spans="1:24">
      <c r="A49" s="394" t="s">
        <v>19</v>
      </c>
      <c r="B49" s="298">
        <v>645393</v>
      </c>
      <c r="C49" s="299" t="s">
        <v>60</v>
      </c>
      <c r="D49" s="300">
        <v>0.04</v>
      </c>
      <c r="E49" s="301" t="s">
        <v>35</v>
      </c>
      <c r="F49" s="544">
        <f t="shared" si="14"/>
        <v>0.93</v>
      </c>
      <c r="G49" s="544">
        <f t="shared" si="14"/>
        <v>0.95</v>
      </c>
      <c r="H49" s="544">
        <f t="shared" si="14"/>
        <v>0.96</v>
      </c>
      <c r="I49" s="544">
        <f t="shared" si="14"/>
        <v>0.96</v>
      </c>
      <c r="J49" s="544">
        <f t="shared" si="14"/>
        <v>0.98</v>
      </c>
      <c r="K49" s="544">
        <f t="shared" si="14"/>
        <v>1.1000000000000001</v>
      </c>
      <c r="L49" s="551">
        <v>1.1599999999999999</v>
      </c>
      <c r="N49" s="66">
        <v>0.71</v>
      </c>
      <c r="O49" s="47">
        <f t="shared" si="10"/>
        <v>17750</v>
      </c>
      <c r="P49" s="48">
        <v>0.7</v>
      </c>
      <c r="Q49" s="49">
        <f t="shared" si="11"/>
        <v>1.2069999999999999</v>
      </c>
      <c r="R49" s="50">
        <f t="shared" si="12"/>
        <v>0.97</v>
      </c>
      <c r="S49" s="60">
        <f t="shared" si="13"/>
        <v>0.26804123711340205</v>
      </c>
      <c r="T49" s="52">
        <v>0.71</v>
      </c>
      <c r="U49" s="53">
        <v>1.2069999999999999</v>
      </c>
      <c r="V49" s="54">
        <v>0.7</v>
      </c>
      <c r="X49" s="55"/>
    </row>
    <row r="50" spans="1:24">
      <c r="A50" s="394" t="s">
        <v>19</v>
      </c>
      <c r="B50" s="298">
        <v>270504</v>
      </c>
      <c r="C50" s="299" t="s">
        <v>39</v>
      </c>
      <c r="D50" s="300">
        <v>0.01</v>
      </c>
      <c r="E50" s="301" t="s">
        <v>35</v>
      </c>
      <c r="F50" s="544">
        <f t="shared" si="14"/>
        <v>2</v>
      </c>
      <c r="G50" s="544">
        <f t="shared" si="14"/>
        <v>2.04</v>
      </c>
      <c r="H50" s="544">
        <f t="shared" si="14"/>
        <v>2.06</v>
      </c>
      <c r="I50" s="544">
        <f t="shared" si="14"/>
        <v>2.06</v>
      </c>
      <c r="J50" s="544">
        <f t="shared" si="14"/>
        <v>2.12</v>
      </c>
      <c r="K50" s="544">
        <f t="shared" si="14"/>
        <v>2.38</v>
      </c>
      <c r="L50" s="551">
        <v>2.5</v>
      </c>
      <c r="N50" s="66">
        <v>0.68</v>
      </c>
      <c r="O50" s="47">
        <f t="shared" si="10"/>
        <v>68000</v>
      </c>
      <c r="P50" s="48">
        <v>0.7</v>
      </c>
      <c r="Q50" s="49">
        <f t="shared" si="11"/>
        <v>1.1560000000000001</v>
      </c>
      <c r="R50" s="50">
        <f t="shared" si="12"/>
        <v>0.92</v>
      </c>
      <c r="S50" s="60">
        <f t="shared" si="13"/>
        <v>0.2608695652173913</v>
      </c>
      <c r="T50" s="52">
        <v>0.68</v>
      </c>
      <c r="U50" s="53">
        <v>1.1560000000000001</v>
      </c>
      <c r="V50" s="54">
        <v>0.7</v>
      </c>
      <c r="X50" s="55"/>
    </row>
    <row r="51" spans="1:24">
      <c r="A51" s="394" t="s">
        <v>19</v>
      </c>
      <c r="B51" s="298">
        <v>189489</v>
      </c>
      <c r="C51" s="299" t="s">
        <v>61</v>
      </c>
      <c r="D51" s="300">
        <v>0.01</v>
      </c>
      <c r="E51" s="301" t="s">
        <v>35</v>
      </c>
      <c r="F51" s="544">
        <f t="shared" si="14"/>
        <v>2.1</v>
      </c>
      <c r="G51" s="544">
        <f t="shared" si="14"/>
        <v>2.14</v>
      </c>
      <c r="H51" s="544">
        <f t="shared" si="14"/>
        <v>2.16</v>
      </c>
      <c r="I51" s="544">
        <f t="shared" si="14"/>
        <v>2.16</v>
      </c>
      <c r="J51" s="544">
        <f t="shared" si="14"/>
        <v>2.2200000000000002</v>
      </c>
      <c r="K51" s="544">
        <f t="shared" si="14"/>
        <v>2.4900000000000002</v>
      </c>
      <c r="L51" s="551">
        <v>2.62</v>
      </c>
      <c r="N51" s="66">
        <v>1.47</v>
      </c>
      <c r="O51" s="47">
        <f t="shared" si="10"/>
        <v>147000</v>
      </c>
      <c r="P51" s="48">
        <v>0.7</v>
      </c>
      <c r="Q51" s="49">
        <f t="shared" si="11"/>
        <v>2.4990000000000001</v>
      </c>
      <c r="R51" s="50">
        <f t="shared" si="12"/>
        <v>2</v>
      </c>
      <c r="S51" s="60">
        <f t="shared" si="13"/>
        <v>0.26500000000000001</v>
      </c>
      <c r="T51" s="52">
        <v>1.47</v>
      </c>
      <c r="U51" s="53">
        <v>2.4990000000000001</v>
      </c>
      <c r="V51" s="54">
        <v>0.7</v>
      </c>
      <c r="X51" s="55"/>
    </row>
    <row r="52" spans="1:24">
      <c r="A52" s="394" t="s">
        <v>19</v>
      </c>
      <c r="B52" s="298">
        <v>189205</v>
      </c>
      <c r="C52" s="299" t="s">
        <v>62</v>
      </c>
      <c r="D52" s="300">
        <v>0.56000000000000005</v>
      </c>
      <c r="E52" s="301" t="s">
        <v>35</v>
      </c>
      <c r="F52" s="544">
        <f t="shared" si="14"/>
        <v>3.42</v>
      </c>
      <c r="G52" s="544">
        <f t="shared" si="14"/>
        <v>3.48</v>
      </c>
      <c r="H52" s="544">
        <f t="shared" si="14"/>
        <v>3.52</v>
      </c>
      <c r="I52" s="544">
        <f t="shared" si="14"/>
        <v>3.52</v>
      </c>
      <c r="J52" s="544">
        <f t="shared" si="14"/>
        <v>3.63</v>
      </c>
      <c r="K52" s="544">
        <f t="shared" si="14"/>
        <v>4.0599999999999996</v>
      </c>
      <c r="L52" s="552">
        <v>4.2724850099933374</v>
      </c>
      <c r="N52" s="66">
        <v>1.4157000000000002</v>
      </c>
      <c r="O52" s="47">
        <f>+N52/D52*1000</f>
        <v>2528.0357142857142</v>
      </c>
      <c r="P52" s="48">
        <v>0.85</v>
      </c>
      <c r="Q52" s="49">
        <f>+N52*(P52+1)</f>
        <v>2.6190450000000003</v>
      </c>
      <c r="R52" s="50">
        <f t="shared" si="12"/>
        <v>2.1</v>
      </c>
      <c r="S52" s="60">
        <f t="shared" si="13"/>
        <v>0.32585714285714279</v>
      </c>
      <c r="T52" s="52">
        <v>1.4157000000000002</v>
      </c>
      <c r="U52" s="53">
        <v>2.6190450000000003</v>
      </c>
      <c r="V52" s="54">
        <v>0.85</v>
      </c>
      <c r="X52" s="55"/>
    </row>
    <row r="53" spans="1:24" ht="15" thickBot="1">
      <c r="A53" s="402" t="s">
        <v>19</v>
      </c>
      <c r="B53" s="302">
        <v>683471</v>
      </c>
      <c r="C53" s="303" t="s">
        <v>63</v>
      </c>
      <c r="D53" s="304">
        <v>0.4</v>
      </c>
      <c r="E53" s="305" t="s">
        <v>35</v>
      </c>
      <c r="F53" s="544">
        <f t="shared" si="14"/>
        <v>30.01</v>
      </c>
      <c r="G53" s="544">
        <f t="shared" si="14"/>
        <v>30.58</v>
      </c>
      <c r="H53" s="544">
        <f t="shared" si="14"/>
        <v>30.95</v>
      </c>
      <c r="I53" s="544">
        <f t="shared" si="14"/>
        <v>30.95</v>
      </c>
      <c r="J53" s="544">
        <f t="shared" si="14"/>
        <v>31.85</v>
      </c>
      <c r="K53" s="544">
        <f t="shared" si="14"/>
        <v>35.64</v>
      </c>
      <c r="L53" s="552">
        <v>37.517039922103216</v>
      </c>
      <c r="N53" s="46">
        <v>1.56</v>
      </c>
      <c r="O53" s="47">
        <f>+N53/D53*1000</f>
        <v>3900</v>
      </c>
      <c r="P53" s="48">
        <v>0.65</v>
      </c>
      <c r="Q53" s="49">
        <f>+N53*(P53+1)</f>
        <v>2.5739999999999998</v>
      </c>
      <c r="R53" s="50">
        <f t="shared" si="12"/>
        <v>2.06</v>
      </c>
      <c r="S53" s="51">
        <f>(R53-N53)/R53</f>
        <v>0.24271844660194175</v>
      </c>
      <c r="T53" s="52">
        <v>1.56</v>
      </c>
      <c r="U53" s="53">
        <v>2.5739999999999998</v>
      </c>
      <c r="V53" s="54">
        <v>0.65</v>
      </c>
      <c r="X53" s="55"/>
    </row>
    <row r="54" spans="1:24" ht="15" thickBot="1">
      <c r="A54" s="397" t="s">
        <v>64</v>
      </c>
      <c r="B54" s="387"/>
      <c r="C54" s="388"/>
      <c r="D54" s="388"/>
      <c r="E54" s="389"/>
      <c r="F54" s="390"/>
      <c r="G54" s="390"/>
      <c r="H54" s="390"/>
      <c r="I54" s="390"/>
      <c r="J54" s="390"/>
      <c r="K54" s="390"/>
      <c r="L54" s="398"/>
      <c r="N54" s="46">
        <v>13.4</v>
      </c>
      <c r="O54" s="47" t="e">
        <f>+N54/D54*1000</f>
        <v>#DIV/0!</v>
      </c>
      <c r="P54" s="48">
        <v>0.65</v>
      </c>
      <c r="Q54" s="49">
        <f>+N54*(P54+1)</f>
        <v>22.11</v>
      </c>
      <c r="R54" s="50">
        <f t="shared" si="12"/>
        <v>17.690000000000001</v>
      </c>
      <c r="S54" s="51">
        <f t="shared" si="13"/>
        <v>0.2425098925946863</v>
      </c>
      <c r="T54" s="52">
        <v>13.4</v>
      </c>
      <c r="U54" s="53">
        <v>22.11</v>
      </c>
      <c r="V54" s="54">
        <v>0.65</v>
      </c>
      <c r="X54" s="55"/>
    </row>
    <row r="55" spans="1:24">
      <c r="A55" s="392">
        <v>1</v>
      </c>
      <c r="B55" s="294">
        <v>189498</v>
      </c>
      <c r="C55" s="295" t="s">
        <v>65</v>
      </c>
      <c r="D55" s="296">
        <v>23.93</v>
      </c>
      <c r="E55" s="297" t="s">
        <v>24</v>
      </c>
      <c r="F55" s="395">
        <f t="shared" si="14"/>
        <v>462</v>
      </c>
      <c r="G55" s="395">
        <f t="shared" si="14"/>
        <v>470.66</v>
      </c>
      <c r="H55" s="395">
        <f t="shared" si="14"/>
        <v>476.44</v>
      </c>
      <c r="I55" s="395">
        <f t="shared" si="14"/>
        <v>476.44</v>
      </c>
      <c r="J55" s="395">
        <f t="shared" si="14"/>
        <v>490.27</v>
      </c>
      <c r="K55" s="395">
        <f t="shared" si="14"/>
        <v>548.63</v>
      </c>
      <c r="L55" s="553">
        <v>577.5</v>
      </c>
      <c r="N55" s="66"/>
      <c r="O55" s="47"/>
      <c r="P55" s="48"/>
      <c r="Q55" s="49"/>
      <c r="R55" s="50"/>
      <c r="S55" s="60"/>
      <c r="T55" s="52"/>
      <c r="U55" s="53"/>
      <c r="V55" s="54"/>
      <c r="X55" s="55"/>
    </row>
    <row r="56" spans="1:24">
      <c r="A56" s="394">
        <v>2</v>
      </c>
      <c r="B56" s="298">
        <v>270495</v>
      </c>
      <c r="C56" s="299" t="s">
        <v>66</v>
      </c>
      <c r="D56" s="300">
        <v>23.93</v>
      </c>
      <c r="E56" s="301" t="s">
        <v>24</v>
      </c>
      <c r="F56" s="395">
        <f t="shared" si="14"/>
        <v>462</v>
      </c>
      <c r="G56" s="395">
        <f t="shared" si="14"/>
        <v>470.66</v>
      </c>
      <c r="H56" s="395">
        <f t="shared" si="14"/>
        <v>476.44</v>
      </c>
      <c r="I56" s="395">
        <f t="shared" si="14"/>
        <v>476.44</v>
      </c>
      <c r="J56" s="395">
        <f t="shared" si="14"/>
        <v>490.27</v>
      </c>
      <c r="K56" s="395">
        <f t="shared" si="14"/>
        <v>548.63</v>
      </c>
      <c r="L56" s="551">
        <v>577.5</v>
      </c>
      <c r="N56" s="61" t="s">
        <v>12</v>
      </c>
      <c r="O56" s="62" t="s">
        <v>13</v>
      </c>
      <c r="P56" s="62" t="s">
        <v>31</v>
      </c>
      <c r="Q56" s="63" t="s">
        <v>11</v>
      </c>
      <c r="R56" s="64" t="s">
        <v>5</v>
      </c>
      <c r="S56" s="65"/>
      <c r="T56" s="52"/>
      <c r="U56" s="53"/>
      <c r="V56" s="54"/>
      <c r="X56" s="55"/>
    </row>
    <row r="57" spans="1:24">
      <c r="A57" s="394">
        <v>3</v>
      </c>
      <c r="B57" s="298">
        <v>189149</v>
      </c>
      <c r="C57" s="299" t="s">
        <v>67</v>
      </c>
      <c r="D57" s="300">
        <v>49.47</v>
      </c>
      <c r="E57" s="301" t="s">
        <v>24</v>
      </c>
      <c r="F57" s="395">
        <f t="shared" si="14"/>
        <v>759</v>
      </c>
      <c r="G57" s="395">
        <f t="shared" si="14"/>
        <v>773.23</v>
      </c>
      <c r="H57" s="395">
        <f t="shared" si="14"/>
        <v>782.72</v>
      </c>
      <c r="I57" s="395">
        <f t="shared" si="14"/>
        <v>782.72</v>
      </c>
      <c r="J57" s="395">
        <f t="shared" si="14"/>
        <v>805.45</v>
      </c>
      <c r="K57" s="395">
        <f t="shared" si="14"/>
        <v>901.31</v>
      </c>
      <c r="L57" s="551">
        <v>948.75</v>
      </c>
      <c r="N57" s="46">
        <v>350</v>
      </c>
      <c r="O57" s="47">
        <f t="shared" ref="O57:O77" si="15">+N57/D57*1000</f>
        <v>7074.9949464321808</v>
      </c>
      <c r="P57" s="48">
        <v>0.65</v>
      </c>
      <c r="Q57" s="49">
        <f t="shared" ref="Q57:Q77" si="16">+N57*(P57+1)</f>
        <v>577.5</v>
      </c>
      <c r="R57" s="50">
        <f>ROUND($Q57*(1-R$7),2)</f>
        <v>462</v>
      </c>
      <c r="S57" s="51">
        <f t="shared" ref="S57:S77" si="17">(R57-N57)/R57</f>
        <v>0.24242424242424243</v>
      </c>
      <c r="T57" s="52">
        <v>350</v>
      </c>
      <c r="U57" s="53">
        <v>577.5</v>
      </c>
      <c r="V57" s="54">
        <v>0.65</v>
      </c>
      <c r="X57" s="55"/>
    </row>
    <row r="58" spans="1:24">
      <c r="A58" s="394">
        <v>4</v>
      </c>
      <c r="B58" s="298">
        <v>189211</v>
      </c>
      <c r="C58" s="299" t="s">
        <v>68</v>
      </c>
      <c r="D58" s="300">
        <v>49.47</v>
      </c>
      <c r="E58" s="301" t="s">
        <v>24</v>
      </c>
      <c r="F58" s="395">
        <f t="shared" si="14"/>
        <v>759</v>
      </c>
      <c r="G58" s="395">
        <f t="shared" si="14"/>
        <v>773.23</v>
      </c>
      <c r="H58" s="395">
        <f t="shared" si="14"/>
        <v>782.72</v>
      </c>
      <c r="I58" s="395">
        <f t="shared" si="14"/>
        <v>782.72</v>
      </c>
      <c r="J58" s="395">
        <f t="shared" si="14"/>
        <v>805.45</v>
      </c>
      <c r="K58" s="395">
        <f t="shared" si="14"/>
        <v>901.31</v>
      </c>
      <c r="L58" s="551">
        <v>948.75</v>
      </c>
      <c r="N58" s="46">
        <v>350</v>
      </c>
      <c r="O58" s="47">
        <f t="shared" si="15"/>
        <v>7074.9949464321808</v>
      </c>
      <c r="P58" s="48">
        <v>0.65</v>
      </c>
      <c r="Q58" s="49">
        <f>+N58*(P58+1)</f>
        <v>577.5</v>
      </c>
      <c r="R58" s="50">
        <f t="shared" ref="R58:R77" si="18">ROUND($Q58*(1-R$7),2)</f>
        <v>462</v>
      </c>
      <c r="S58" s="51">
        <f t="shared" si="17"/>
        <v>0.24242424242424243</v>
      </c>
      <c r="T58" s="52">
        <v>350</v>
      </c>
      <c r="U58" s="53">
        <v>577.5</v>
      </c>
      <c r="V58" s="54">
        <v>0.65</v>
      </c>
      <c r="X58" s="55"/>
    </row>
    <row r="59" spans="1:24">
      <c r="A59" s="394">
        <v>5</v>
      </c>
      <c r="B59" s="298">
        <v>189212</v>
      </c>
      <c r="C59" s="299" t="s">
        <v>69</v>
      </c>
      <c r="D59" s="300">
        <v>70.94</v>
      </c>
      <c r="E59" s="301" t="s">
        <v>24</v>
      </c>
      <c r="F59" s="395">
        <f t="shared" ref="F59:K75" si="19">ROUND($L59*(1-F$7),2)</f>
        <v>1148.4000000000001</v>
      </c>
      <c r="G59" s="395">
        <f t="shared" si="19"/>
        <v>1169.93</v>
      </c>
      <c r="H59" s="395">
        <f t="shared" si="19"/>
        <v>1184.29</v>
      </c>
      <c r="I59" s="395">
        <f t="shared" si="19"/>
        <v>1184.29</v>
      </c>
      <c r="J59" s="395">
        <f t="shared" si="19"/>
        <v>1218.68</v>
      </c>
      <c r="K59" s="395">
        <f t="shared" si="19"/>
        <v>1363.73</v>
      </c>
      <c r="L59" s="551">
        <v>1435.5</v>
      </c>
      <c r="N59" s="46">
        <v>575</v>
      </c>
      <c r="O59" s="47">
        <f t="shared" si="15"/>
        <v>8105.4412179306464</v>
      </c>
      <c r="P59" s="48">
        <v>0.65</v>
      </c>
      <c r="Q59" s="49">
        <f t="shared" si="16"/>
        <v>948.75</v>
      </c>
      <c r="R59" s="50">
        <f t="shared" si="18"/>
        <v>759</v>
      </c>
      <c r="S59" s="51">
        <f t="shared" si="17"/>
        <v>0.24242424242424243</v>
      </c>
      <c r="T59" s="52">
        <v>575</v>
      </c>
      <c r="U59" s="53">
        <v>948.75</v>
      </c>
      <c r="V59" s="54">
        <v>0.65</v>
      </c>
      <c r="X59" s="55"/>
    </row>
    <row r="60" spans="1:24">
      <c r="A60" s="394">
        <v>6</v>
      </c>
      <c r="B60" s="298">
        <v>189218</v>
      </c>
      <c r="C60" s="299" t="s">
        <v>70</v>
      </c>
      <c r="D60" s="300">
        <v>84.19</v>
      </c>
      <c r="E60" s="301" t="s">
        <v>24</v>
      </c>
      <c r="F60" s="395">
        <f t="shared" si="19"/>
        <v>1295.25</v>
      </c>
      <c r="G60" s="395">
        <f t="shared" si="19"/>
        <v>1319.53</v>
      </c>
      <c r="H60" s="395">
        <f t="shared" si="19"/>
        <v>1335.72</v>
      </c>
      <c r="I60" s="395">
        <f t="shared" si="19"/>
        <v>1335.72</v>
      </c>
      <c r="J60" s="395">
        <f t="shared" si="19"/>
        <v>1374.52</v>
      </c>
      <c r="K60" s="395">
        <f t="shared" si="19"/>
        <v>1538.11</v>
      </c>
      <c r="L60" s="551">
        <v>1619.06</v>
      </c>
      <c r="N60" s="46">
        <v>575</v>
      </c>
      <c r="O60" s="47">
        <f t="shared" si="15"/>
        <v>6829.7897612543056</v>
      </c>
      <c r="P60" s="48">
        <v>0.65</v>
      </c>
      <c r="Q60" s="49">
        <f t="shared" si="16"/>
        <v>948.75</v>
      </c>
      <c r="R60" s="50">
        <f t="shared" si="18"/>
        <v>759</v>
      </c>
      <c r="S60" s="51">
        <f t="shared" si="17"/>
        <v>0.24242424242424243</v>
      </c>
      <c r="T60" s="52">
        <v>575</v>
      </c>
      <c r="U60" s="53">
        <v>948.75</v>
      </c>
      <c r="V60" s="54">
        <v>0.65</v>
      </c>
      <c r="X60" s="55"/>
    </row>
    <row r="61" spans="1:24">
      <c r="A61" s="394">
        <v>7</v>
      </c>
      <c r="B61" s="298">
        <v>189150</v>
      </c>
      <c r="C61" s="299" t="s">
        <v>71</v>
      </c>
      <c r="D61" s="300">
        <v>111.04</v>
      </c>
      <c r="E61" s="301" t="s">
        <v>24</v>
      </c>
      <c r="F61" s="395">
        <f t="shared" si="19"/>
        <v>1636.8</v>
      </c>
      <c r="G61" s="395">
        <f t="shared" si="19"/>
        <v>1667.49</v>
      </c>
      <c r="H61" s="395">
        <f t="shared" si="19"/>
        <v>1687.95</v>
      </c>
      <c r="I61" s="395">
        <f t="shared" si="19"/>
        <v>1687.95</v>
      </c>
      <c r="J61" s="395">
        <f t="shared" si="19"/>
        <v>1736.97</v>
      </c>
      <c r="K61" s="395">
        <f t="shared" si="19"/>
        <v>1943.7</v>
      </c>
      <c r="L61" s="551">
        <v>2046</v>
      </c>
      <c r="N61" s="46">
        <v>870</v>
      </c>
      <c r="O61" s="47">
        <f t="shared" si="15"/>
        <v>7835.0144092219016</v>
      </c>
      <c r="P61" s="48">
        <v>0.65</v>
      </c>
      <c r="Q61" s="49">
        <f t="shared" si="16"/>
        <v>1435.5</v>
      </c>
      <c r="R61" s="50">
        <f t="shared" si="18"/>
        <v>1148.4000000000001</v>
      </c>
      <c r="S61" s="51">
        <f t="shared" si="17"/>
        <v>0.24242424242424249</v>
      </c>
      <c r="T61" s="52">
        <v>870</v>
      </c>
      <c r="U61" s="53">
        <v>1435.5</v>
      </c>
      <c r="V61" s="54">
        <v>0.65</v>
      </c>
      <c r="X61" s="55"/>
    </row>
    <row r="62" spans="1:24">
      <c r="A62" s="394">
        <v>8</v>
      </c>
      <c r="B62" s="298">
        <v>189151</v>
      </c>
      <c r="C62" s="299" t="s">
        <v>72</v>
      </c>
      <c r="D62" s="300">
        <v>145.72999999999999</v>
      </c>
      <c r="E62" s="301" t="s">
        <v>24</v>
      </c>
      <c r="F62" s="395">
        <f t="shared" si="19"/>
        <v>2062.5</v>
      </c>
      <c r="G62" s="395">
        <f t="shared" si="19"/>
        <v>2101.1799999999998</v>
      </c>
      <c r="H62" s="395">
        <f t="shared" si="19"/>
        <v>2126.96</v>
      </c>
      <c r="I62" s="395">
        <f t="shared" si="19"/>
        <v>2126.96</v>
      </c>
      <c r="J62" s="395">
        <f t="shared" si="19"/>
        <v>2188.73</v>
      </c>
      <c r="K62" s="395">
        <f t="shared" si="19"/>
        <v>2449.2199999999998</v>
      </c>
      <c r="L62" s="551">
        <v>2578.13</v>
      </c>
      <c r="N62" s="46">
        <v>981.25</v>
      </c>
      <c r="O62" s="47">
        <f t="shared" si="15"/>
        <v>6733.3424826734372</v>
      </c>
      <c r="P62" s="48">
        <v>0.65</v>
      </c>
      <c r="Q62" s="49">
        <f t="shared" si="16"/>
        <v>1619.0625</v>
      </c>
      <c r="R62" s="50">
        <f t="shared" si="18"/>
        <v>1295.25</v>
      </c>
      <c r="S62" s="51">
        <f t="shared" si="17"/>
        <v>0.24242424242424243</v>
      </c>
      <c r="T62" s="52">
        <v>981.25</v>
      </c>
      <c r="U62" s="53">
        <v>1619.0625</v>
      </c>
      <c r="V62" s="54">
        <v>0.65</v>
      </c>
      <c r="X62" s="55"/>
    </row>
    <row r="63" spans="1:24">
      <c r="A63" s="394">
        <v>9</v>
      </c>
      <c r="B63" s="298">
        <v>189152</v>
      </c>
      <c r="C63" s="299" t="s">
        <v>73</v>
      </c>
      <c r="D63" s="300">
        <v>207.44</v>
      </c>
      <c r="E63" s="301" t="s">
        <v>24</v>
      </c>
      <c r="F63" s="395">
        <f t="shared" si="19"/>
        <v>2235.75</v>
      </c>
      <c r="G63" s="395">
        <f t="shared" si="19"/>
        <v>2277.67</v>
      </c>
      <c r="H63" s="395">
        <f t="shared" si="19"/>
        <v>2305.62</v>
      </c>
      <c r="I63" s="395">
        <f t="shared" si="19"/>
        <v>2305.62</v>
      </c>
      <c r="J63" s="395">
        <f t="shared" si="19"/>
        <v>2372.58</v>
      </c>
      <c r="K63" s="395">
        <f t="shared" si="19"/>
        <v>2654.96</v>
      </c>
      <c r="L63" s="551">
        <v>2794.69</v>
      </c>
      <c r="N63" s="46">
        <v>1240</v>
      </c>
      <c r="O63" s="47">
        <f t="shared" si="15"/>
        <v>5977.6320863864248</v>
      </c>
      <c r="P63" s="48">
        <v>0.65</v>
      </c>
      <c r="Q63" s="49">
        <f t="shared" si="16"/>
        <v>2046</v>
      </c>
      <c r="R63" s="50">
        <f t="shared" si="18"/>
        <v>1636.8</v>
      </c>
      <c r="S63" s="51">
        <f t="shared" si="17"/>
        <v>0.2424242424242424</v>
      </c>
      <c r="T63" s="52">
        <v>1240</v>
      </c>
      <c r="U63" s="53">
        <v>2046</v>
      </c>
      <c r="V63" s="54">
        <v>0.65</v>
      </c>
      <c r="X63" s="55"/>
    </row>
    <row r="64" spans="1:24">
      <c r="A64" s="394">
        <v>10</v>
      </c>
      <c r="B64" s="298">
        <v>189213</v>
      </c>
      <c r="C64" s="299" t="s">
        <v>74</v>
      </c>
      <c r="D64" s="300">
        <v>247.37</v>
      </c>
      <c r="E64" s="301" t="s">
        <v>24</v>
      </c>
      <c r="F64" s="395">
        <f t="shared" si="19"/>
        <v>2788.5</v>
      </c>
      <c r="G64" s="395">
        <f t="shared" si="19"/>
        <v>2840.79</v>
      </c>
      <c r="H64" s="395">
        <f t="shared" si="19"/>
        <v>2875.64</v>
      </c>
      <c r="I64" s="395">
        <f t="shared" si="19"/>
        <v>2875.64</v>
      </c>
      <c r="J64" s="395">
        <f t="shared" si="19"/>
        <v>2959.16</v>
      </c>
      <c r="K64" s="395">
        <f t="shared" si="19"/>
        <v>3311.35</v>
      </c>
      <c r="L64" s="551">
        <v>3485.63</v>
      </c>
      <c r="N64" s="46">
        <v>1562.5</v>
      </c>
      <c r="O64" s="47">
        <f t="shared" si="15"/>
        <v>6316.4490439422725</v>
      </c>
      <c r="P64" s="48">
        <v>0.65</v>
      </c>
      <c r="Q64" s="49">
        <f t="shared" si="16"/>
        <v>2578.125</v>
      </c>
      <c r="R64" s="50">
        <f t="shared" si="18"/>
        <v>2062.5</v>
      </c>
      <c r="S64" s="51">
        <f t="shared" si="17"/>
        <v>0.24242424242424243</v>
      </c>
      <c r="T64" s="52">
        <v>1562.5</v>
      </c>
      <c r="U64" s="53">
        <v>2578.125</v>
      </c>
      <c r="V64" s="54">
        <v>0.65</v>
      </c>
      <c r="X64" s="55"/>
    </row>
    <row r="65" spans="1:24">
      <c r="A65" s="394">
        <v>11</v>
      </c>
      <c r="B65" s="298">
        <v>189153</v>
      </c>
      <c r="C65" s="299" t="s">
        <v>75</v>
      </c>
      <c r="D65" s="300">
        <v>287.39</v>
      </c>
      <c r="E65" s="301" t="s">
        <v>24</v>
      </c>
      <c r="F65" s="395">
        <f t="shared" si="19"/>
        <v>2607</v>
      </c>
      <c r="G65" s="395">
        <f t="shared" si="19"/>
        <v>2655.88</v>
      </c>
      <c r="H65" s="395">
        <f t="shared" si="19"/>
        <v>2688.47</v>
      </c>
      <c r="I65" s="395">
        <f t="shared" si="19"/>
        <v>2688.47</v>
      </c>
      <c r="J65" s="395">
        <f t="shared" si="19"/>
        <v>2766.55</v>
      </c>
      <c r="K65" s="395">
        <f t="shared" si="19"/>
        <v>3095.81</v>
      </c>
      <c r="L65" s="551">
        <v>3258.75</v>
      </c>
      <c r="N65" s="46">
        <v>1693.75</v>
      </c>
      <c r="O65" s="47">
        <f t="shared" si="15"/>
        <v>5893.5592748529871</v>
      </c>
      <c r="P65" s="48">
        <v>0.65</v>
      </c>
      <c r="Q65" s="49">
        <f t="shared" si="16"/>
        <v>2794.6875</v>
      </c>
      <c r="R65" s="50">
        <f t="shared" si="18"/>
        <v>2235.75</v>
      </c>
      <c r="S65" s="51">
        <f t="shared" si="17"/>
        <v>0.24242424242424243</v>
      </c>
      <c r="T65" s="52">
        <v>1693.75</v>
      </c>
      <c r="U65" s="53">
        <v>2794.6875</v>
      </c>
      <c r="V65" s="54">
        <v>0.65</v>
      </c>
      <c r="X65" s="55"/>
    </row>
    <row r="66" spans="1:24">
      <c r="A66" s="394">
        <v>12</v>
      </c>
      <c r="B66" s="298">
        <v>189214</v>
      </c>
      <c r="C66" s="299" t="s">
        <v>76</v>
      </c>
      <c r="D66" s="300">
        <v>287.39</v>
      </c>
      <c r="E66" s="301" t="s">
        <v>24</v>
      </c>
      <c r="F66" s="395">
        <f t="shared" si="19"/>
        <v>2607</v>
      </c>
      <c r="G66" s="395">
        <f t="shared" si="19"/>
        <v>2655.88</v>
      </c>
      <c r="H66" s="395">
        <f t="shared" si="19"/>
        <v>2688.47</v>
      </c>
      <c r="I66" s="395">
        <f t="shared" si="19"/>
        <v>2688.47</v>
      </c>
      <c r="J66" s="395">
        <f t="shared" si="19"/>
        <v>2766.55</v>
      </c>
      <c r="K66" s="395">
        <f t="shared" si="19"/>
        <v>3095.81</v>
      </c>
      <c r="L66" s="551">
        <v>3258.75</v>
      </c>
      <c r="N66" s="46">
        <v>2112.5</v>
      </c>
      <c r="O66" s="47">
        <f t="shared" si="15"/>
        <v>7350.638505167195</v>
      </c>
      <c r="P66" s="48">
        <v>0.65</v>
      </c>
      <c r="Q66" s="49">
        <f t="shared" si="16"/>
        <v>3485.625</v>
      </c>
      <c r="R66" s="50">
        <f t="shared" si="18"/>
        <v>2788.5</v>
      </c>
      <c r="S66" s="51">
        <f t="shared" si="17"/>
        <v>0.24242424242424243</v>
      </c>
      <c r="T66" s="52">
        <v>2112.5</v>
      </c>
      <c r="U66" s="53">
        <v>3485.625</v>
      </c>
      <c r="V66" s="54">
        <v>0.65</v>
      </c>
      <c r="X66" s="55"/>
    </row>
    <row r="67" spans="1:24">
      <c r="A67" s="394">
        <v>1</v>
      </c>
      <c r="B67" s="298">
        <v>189206</v>
      </c>
      <c r="C67" s="299" t="s">
        <v>77</v>
      </c>
      <c r="D67" s="300">
        <v>1.3</v>
      </c>
      <c r="E67" s="301" t="s">
        <v>35</v>
      </c>
      <c r="F67" s="395">
        <f t="shared" si="19"/>
        <v>102.22</v>
      </c>
      <c r="G67" s="395">
        <f t="shared" si="19"/>
        <v>104.13</v>
      </c>
      <c r="H67" s="395">
        <f t="shared" si="19"/>
        <v>105.41</v>
      </c>
      <c r="I67" s="395">
        <f t="shared" si="19"/>
        <v>105.41</v>
      </c>
      <c r="J67" s="395">
        <f t="shared" si="19"/>
        <v>108.47</v>
      </c>
      <c r="K67" s="395">
        <f t="shared" si="19"/>
        <v>121.38</v>
      </c>
      <c r="L67" s="551">
        <v>127.77</v>
      </c>
      <c r="N67" s="46">
        <v>1975</v>
      </c>
      <c r="O67" s="47">
        <f t="shared" si="15"/>
        <v>1519230.7692307692</v>
      </c>
      <c r="P67" s="48">
        <v>0.65</v>
      </c>
      <c r="Q67" s="49">
        <f t="shared" si="16"/>
        <v>3258.75</v>
      </c>
      <c r="R67" s="50">
        <f t="shared" si="18"/>
        <v>2607</v>
      </c>
      <c r="S67" s="51">
        <f t="shared" si="17"/>
        <v>0.24242424242424243</v>
      </c>
      <c r="T67" s="52">
        <v>1975</v>
      </c>
      <c r="U67" s="53">
        <v>3258.75</v>
      </c>
      <c r="V67" s="54">
        <v>0.65</v>
      </c>
      <c r="X67" s="55"/>
    </row>
    <row r="68" spans="1:24">
      <c r="A68" s="394">
        <v>2</v>
      </c>
      <c r="B68" s="298">
        <v>189163</v>
      </c>
      <c r="C68" s="299" t="s">
        <v>78</v>
      </c>
      <c r="D68" s="300">
        <v>1.25</v>
      </c>
      <c r="E68" s="301" t="s">
        <v>35</v>
      </c>
      <c r="F68" s="395">
        <f t="shared" si="19"/>
        <v>122.42</v>
      </c>
      <c r="G68" s="395">
        <f t="shared" si="19"/>
        <v>124.71</v>
      </c>
      <c r="H68" s="395">
        <f t="shared" si="19"/>
        <v>126.24</v>
      </c>
      <c r="I68" s="395">
        <f t="shared" si="19"/>
        <v>126.24</v>
      </c>
      <c r="J68" s="395">
        <f t="shared" si="19"/>
        <v>129.91</v>
      </c>
      <c r="K68" s="395">
        <f t="shared" si="19"/>
        <v>145.37</v>
      </c>
      <c r="L68" s="551">
        <v>153.02000000000001</v>
      </c>
      <c r="N68" s="46">
        <v>1975</v>
      </c>
      <c r="O68" s="47">
        <f t="shared" si="15"/>
        <v>1580000</v>
      </c>
      <c r="P68" s="48">
        <v>0.65</v>
      </c>
      <c r="Q68" s="49">
        <f t="shared" si="16"/>
        <v>3258.75</v>
      </c>
      <c r="R68" s="50">
        <f t="shared" si="18"/>
        <v>2607</v>
      </c>
      <c r="S68" s="51">
        <f t="shared" si="17"/>
        <v>0.24242424242424243</v>
      </c>
      <c r="T68" s="52">
        <v>1975</v>
      </c>
      <c r="U68" s="53">
        <v>3258.75</v>
      </c>
      <c r="V68" s="54">
        <v>0.65</v>
      </c>
      <c r="X68" s="55"/>
    </row>
    <row r="69" spans="1:24">
      <c r="A69" s="394">
        <v>3</v>
      </c>
      <c r="B69" s="298">
        <v>189164</v>
      </c>
      <c r="C69" s="299" t="s">
        <v>79</v>
      </c>
      <c r="D69" s="300">
        <v>0.72</v>
      </c>
      <c r="E69" s="301" t="s">
        <v>35</v>
      </c>
      <c r="F69" s="395">
        <f t="shared" si="19"/>
        <v>43.05</v>
      </c>
      <c r="G69" s="395">
        <f t="shared" si="19"/>
        <v>43.86</v>
      </c>
      <c r="H69" s="395">
        <f t="shared" si="19"/>
        <v>44.39</v>
      </c>
      <c r="I69" s="395">
        <f t="shared" si="19"/>
        <v>44.39</v>
      </c>
      <c r="J69" s="395">
        <f t="shared" si="19"/>
        <v>45.68</v>
      </c>
      <c r="K69" s="395">
        <f t="shared" si="19"/>
        <v>51.12</v>
      </c>
      <c r="L69" s="551">
        <v>53.81</v>
      </c>
      <c r="N69" s="76">
        <v>73.011073299999993</v>
      </c>
      <c r="O69" s="47">
        <f>+N69/D69*1000</f>
        <v>101404.26847222222</v>
      </c>
      <c r="P69" s="48">
        <v>0.75</v>
      </c>
      <c r="Q69" s="49">
        <f>+N69*(P69+1)</f>
        <v>127.76937827499998</v>
      </c>
      <c r="R69" s="50">
        <f>ROUND($Q69*(1-R$7),2)</f>
        <v>102.22</v>
      </c>
      <c r="S69" s="51">
        <f t="shared" si="17"/>
        <v>0.28574571218939548</v>
      </c>
      <c r="T69" s="52">
        <v>73.011073299999993</v>
      </c>
      <c r="U69" s="53">
        <v>127.76937827499998</v>
      </c>
      <c r="V69" s="54">
        <v>0.75</v>
      </c>
      <c r="X69" s="55"/>
    </row>
    <row r="70" spans="1:24">
      <c r="A70" s="394">
        <v>4</v>
      </c>
      <c r="B70" s="298">
        <v>189202</v>
      </c>
      <c r="C70" s="299" t="s">
        <v>80</v>
      </c>
      <c r="D70" s="300">
        <v>1.78</v>
      </c>
      <c r="E70" s="301" t="s">
        <v>35</v>
      </c>
      <c r="F70" s="395">
        <f t="shared" si="19"/>
        <v>158.30000000000001</v>
      </c>
      <c r="G70" s="395">
        <f t="shared" si="19"/>
        <v>161.26</v>
      </c>
      <c r="H70" s="395">
        <f t="shared" si="19"/>
        <v>163.24</v>
      </c>
      <c r="I70" s="395">
        <f t="shared" si="19"/>
        <v>163.24</v>
      </c>
      <c r="J70" s="395">
        <f t="shared" si="19"/>
        <v>167.98</v>
      </c>
      <c r="K70" s="395">
        <f t="shared" si="19"/>
        <v>187.98</v>
      </c>
      <c r="L70" s="551">
        <v>197.87</v>
      </c>
      <c r="N70" s="76">
        <v>87.44</v>
      </c>
      <c r="O70" s="47">
        <f t="shared" si="15"/>
        <v>49123.595505617981</v>
      </c>
      <c r="P70" s="48">
        <v>0.75</v>
      </c>
      <c r="Q70" s="49">
        <f t="shared" si="16"/>
        <v>153.01999999999998</v>
      </c>
      <c r="R70" s="50">
        <f t="shared" si="18"/>
        <v>122.42</v>
      </c>
      <c r="S70" s="51">
        <f t="shared" si="17"/>
        <v>0.28573762457114854</v>
      </c>
      <c r="T70" s="52">
        <v>87.44</v>
      </c>
      <c r="U70" s="53">
        <v>153.01999999999998</v>
      </c>
      <c r="V70" s="54">
        <v>0.75</v>
      </c>
      <c r="X70" s="55"/>
    </row>
    <row r="71" spans="1:24">
      <c r="A71" s="394">
        <v>5</v>
      </c>
      <c r="B71" s="298">
        <v>189203</v>
      </c>
      <c r="C71" s="299" t="s">
        <v>81</v>
      </c>
      <c r="D71" s="300">
        <v>1</v>
      </c>
      <c r="E71" s="301" t="s">
        <v>35</v>
      </c>
      <c r="F71" s="395">
        <f t="shared" si="19"/>
        <v>66.849999999999994</v>
      </c>
      <c r="G71" s="395">
        <f t="shared" si="19"/>
        <v>68.099999999999994</v>
      </c>
      <c r="H71" s="395">
        <f t="shared" si="19"/>
        <v>68.94</v>
      </c>
      <c r="I71" s="395">
        <f t="shared" si="19"/>
        <v>68.94</v>
      </c>
      <c r="J71" s="395">
        <f t="shared" si="19"/>
        <v>70.94</v>
      </c>
      <c r="K71" s="395">
        <f t="shared" si="19"/>
        <v>79.38</v>
      </c>
      <c r="L71" s="551">
        <v>83.56</v>
      </c>
      <c r="N71" s="76">
        <v>30.75</v>
      </c>
      <c r="O71" s="47">
        <f t="shared" si="15"/>
        <v>30750</v>
      </c>
      <c r="P71" s="48">
        <v>0.75</v>
      </c>
      <c r="Q71" s="49">
        <f t="shared" si="16"/>
        <v>53.8125</v>
      </c>
      <c r="R71" s="50">
        <f t="shared" si="18"/>
        <v>43.05</v>
      </c>
      <c r="S71" s="51">
        <f t="shared" si="17"/>
        <v>0.28571428571428564</v>
      </c>
      <c r="T71" s="52">
        <v>30.75</v>
      </c>
      <c r="U71" s="53">
        <v>53.8125</v>
      </c>
      <c r="V71" s="54">
        <v>0.75</v>
      </c>
      <c r="X71" s="55"/>
    </row>
    <row r="72" spans="1:24">
      <c r="A72" s="394">
        <v>6</v>
      </c>
      <c r="B72" s="298">
        <v>189165</v>
      </c>
      <c r="C72" s="299" t="s">
        <v>85</v>
      </c>
      <c r="D72" s="300">
        <v>0.41</v>
      </c>
      <c r="E72" s="301" t="s">
        <v>35</v>
      </c>
      <c r="F72" s="395">
        <f t="shared" si="19"/>
        <v>27.26</v>
      </c>
      <c r="G72" s="395">
        <f t="shared" si="19"/>
        <v>27.77</v>
      </c>
      <c r="H72" s="395">
        <f t="shared" si="19"/>
        <v>28.11</v>
      </c>
      <c r="I72" s="395">
        <f t="shared" si="19"/>
        <v>28.11</v>
      </c>
      <c r="J72" s="395">
        <f t="shared" si="19"/>
        <v>28.92</v>
      </c>
      <c r="K72" s="395">
        <f t="shared" si="19"/>
        <v>32.369999999999997</v>
      </c>
      <c r="L72" s="551">
        <v>34.07</v>
      </c>
      <c r="N72" s="76">
        <v>113.07</v>
      </c>
      <c r="O72" s="47">
        <f>+N72/D72*1000</f>
        <v>275780.48780487804</v>
      </c>
      <c r="P72" s="48">
        <v>0.75</v>
      </c>
      <c r="Q72" s="49">
        <f>+N72*(P72+1)</f>
        <v>197.8725</v>
      </c>
      <c r="R72" s="50">
        <f>ROUND($Q72*(1-R$7),2)</f>
        <v>158.30000000000001</v>
      </c>
      <c r="S72" s="51">
        <f t="shared" si="17"/>
        <v>0.28572331017056229</v>
      </c>
      <c r="T72" s="52">
        <v>113.07</v>
      </c>
      <c r="U72" s="53">
        <v>197.8725</v>
      </c>
      <c r="V72" s="54">
        <v>0.75</v>
      </c>
      <c r="X72" s="55"/>
    </row>
    <row r="73" spans="1:24">
      <c r="A73" s="394">
        <v>7</v>
      </c>
      <c r="B73" s="298">
        <v>189166</v>
      </c>
      <c r="C73" s="299" t="s">
        <v>82</v>
      </c>
      <c r="D73" s="300">
        <v>0.8</v>
      </c>
      <c r="E73" s="301" t="s">
        <v>35</v>
      </c>
      <c r="F73" s="395">
        <f t="shared" si="19"/>
        <v>47.6</v>
      </c>
      <c r="G73" s="395">
        <f t="shared" si="19"/>
        <v>48.49</v>
      </c>
      <c r="H73" s="395">
        <f t="shared" si="19"/>
        <v>49.09</v>
      </c>
      <c r="I73" s="395">
        <f t="shared" si="19"/>
        <v>49.09</v>
      </c>
      <c r="J73" s="395">
        <f t="shared" si="19"/>
        <v>50.51</v>
      </c>
      <c r="K73" s="395">
        <f t="shared" si="19"/>
        <v>56.53</v>
      </c>
      <c r="L73" s="551">
        <v>59.5</v>
      </c>
      <c r="N73" s="76">
        <v>47.747495400000005</v>
      </c>
      <c r="O73" s="47">
        <f>+N73/D73*1000</f>
        <v>59684.369250000003</v>
      </c>
      <c r="P73" s="48">
        <v>0.75</v>
      </c>
      <c r="Q73" s="49">
        <f>+N73*(P73+1)</f>
        <v>83.558116950000013</v>
      </c>
      <c r="R73" s="50">
        <f>ROUND($Q73*(1-R$7),2)</f>
        <v>66.849999999999994</v>
      </c>
      <c r="S73" s="51">
        <f t="shared" si="17"/>
        <v>0.28575175168287198</v>
      </c>
      <c r="T73" s="52">
        <v>47.747495400000005</v>
      </c>
      <c r="U73" s="53">
        <v>83.558116950000013</v>
      </c>
      <c r="V73" s="54">
        <v>0.75</v>
      </c>
      <c r="X73" s="55"/>
    </row>
    <row r="74" spans="1:24">
      <c r="A74" s="394">
        <v>8</v>
      </c>
      <c r="B74" s="298">
        <v>189167</v>
      </c>
      <c r="C74" s="299" t="s">
        <v>83</v>
      </c>
      <c r="D74" s="300">
        <v>0.71</v>
      </c>
      <c r="E74" s="301" t="s">
        <v>35</v>
      </c>
      <c r="F74" s="395">
        <f t="shared" si="19"/>
        <v>23.21</v>
      </c>
      <c r="G74" s="395">
        <f t="shared" si="19"/>
        <v>23.64</v>
      </c>
      <c r="H74" s="395">
        <f t="shared" si="19"/>
        <v>23.93</v>
      </c>
      <c r="I74" s="395">
        <f t="shared" si="19"/>
        <v>23.93</v>
      </c>
      <c r="J74" s="395">
        <f t="shared" si="19"/>
        <v>24.63</v>
      </c>
      <c r="K74" s="395">
        <f t="shared" si="19"/>
        <v>27.56</v>
      </c>
      <c r="L74" s="551">
        <v>29.01</v>
      </c>
      <c r="N74" s="76">
        <v>34.001000000000005</v>
      </c>
      <c r="O74" s="47">
        <f>+N74/D74*1000</f>
        <v>47888.732394366205</v>
      </c>
      <c r="P74" s="48">
        <v>0.75</v>
      </c>
      <c r="Q74" s="49">
        <f>+N74*(P74+1)</f>
        <v>59.501750000000008</v>
      </c>
      <c r="R74" s="50">
        <f>ROUND($Q74*(1-R$7),2)</f>
        <v>47.6</v>
      </c>
      <c r="S74" s="51">
        <f t="shared" si="17"/>
        <v>0.28569327731092431</v>
      </c>
      <c r="T74" s="52">
        <v>34.001000000000005</v>
      </c>
      <c r="U74" s="53">
        <v>59.501750000000008</v>
      </c>
      <c r="V74" s="54">
        <v>0.75</v>
      </c>
      <c r="X74" s="55"/>
    </row>
    <row r="75" spans="1:24">
      <c r="A75" s="394">
        <v>9</v>
      </c>
      <c r="B75" s="298">
        <v>189207</v>
      </c>
      <c r="C75" s="299" t="s">
        <v>84</v>
      </c>
      <c r="D75" s="300">
        <v>0.41</v>
      </c>
      <c r="E75" s="301" t="s">
        <v>35</v>
      </c>
      <c r="F75" s="395">
        <f t="shared" si="19"/>
        <v>32.26</v>
      </c>
      <c r="G75" s="395">
        <f t="shared" si="19"/>
        <v>32.869999999999997</v>
      </c>
      <c r="H75" s="395">
        <f t="shared" si="19"/>
        <v>33.270000000000003</v>
      </c>
      <c r="I75" s="395">
        <f t="shared" si="19"/>
        <v>33.270000000000003</v>
      </c>
      <c r="J75" s="395">
        <f t="shared" si="19"/>
        <v>34.24</v>
      </c>
      <c r="K75" s="395">
        <f t="shared" si="19"/>
        <v>38.31</v>
      </c>
      <c r="L75" s="551">
        <v>40.33</v>
      </c>
      <c r="N75" s="76">
        <v>16.576999999999998</v>
      </c>
      <c r="O75" s="47">
        <f>+N75/D75*1000</f>
        <v>40431.707317073167</v>
      </c>
      <c r="P75" s="48">
        <v>0.75</v>
      </c>
      <c r="Q75" s="49">
        <f>+N75*(P75+1)</f>
        <v>29.009749999999997</v>
      </c>
      <c r="R75" s="50">
        <f>ROUND($Q75*(1-R$7),2)</f>
        <v>23.21</v>
      </c>
      <c r="S75" s="51">
        <f t="shared" si="17"/>
        <v>0.28578199052132713</v>
      </c>
      <c r="T75" s="52">
        <v>16.576999999999998</v>
      </c>
      <c r="U75" s="53">
        <v>29.009749999999997</v>
      </c>
      <c r="V75" s="54">
        <v>0.75</v>
      </c>
      <c r="X75" s="55"/>
    </row>
    <row r="76" spans="1:24" ht="15" thickBot="1">
      <c r="A76" s="404"/>
      <c r="B76" s="405"/>
      <c r="C76" s="405"/>
      <c r="D76" s="405"/>
      <c r="E76" s="406"/>
      <c r="F76" s="403"/>
      <c r="G76" s="403"/>
      <c r="H76" s="403"/>
      <c r="I76" s="403"/>
      <c r="J76" s="403"/>
      <c r="K76" s="403"/>
      <c r="L76" s="407"/>
      <c r="N76" s="76">
        <v>23.0479953</v>
      </c>
      <c r="O76" s="47" t="e">
        <f>+N76/D76*1000</f>
        <v>#DIV/0!</v>
      </c>
      <c r="P76" s="48">
        <v>0.75</v>
      </c>
      <c r="Q76" s="49">
        <f>+N76*(P76+1)</f>
        <v>40.333991775000001</v>
      </c>
      <c r="R76" s="50">
        <f>ROUND($Q76*(1-R$7),2)</f>
        <v>32.270000000000003</v>
      </c>
      <c r="S76" s="51">
        <f t="shared" si="17"/>
        <v>0.28577640842888136</v>
      </c>
      <c r="T76" s="52">
        <v>23.0479953</v>
      </c>
      <c r="U76" s="53">
        <v>40.333991775000001</v>
      </c>
      <c r="V76" s="54">
        <v>0.75</v>
      </c>
      <c r="X76" s="55"/>
    </row>
    <row r="77" spans="1:24" ht="15" thickBot="1">
      <c r="A77" s="397" t="s">
        <v>86</v>
      </c>
      <c r="B77" s="387"/>
      <c r="C77" s="388"/>
      <c r="D77" s="388"/>
      <c r="E77" s="389"/>
      <c r="F77" s="390"/>
      <c r="G77" s="390"/>
      <c r="H77" s="390"/>
      <c r="I77" s="390"/>
      <c r="J77" s="390"/>
      <c r="K77" s="390"/>
      <c r="L77" s="398"/>
      <c r="N77" s="76">
        <v>19.47</v>
      </c>
      <c r="O77" s="47" t="e">
        <f t="shared" si="15"/>
        <v>#DIV/0!</v>
      </c>
      <c r="P77" s="48">
        <v>0.75</v>
      </c>
      <c r="Q77" s="49">
        <f t="shared" si="16"/>
        <v>34.072499999999998</v>
      </c>
      <c r="R77" s="50">
        <f t="shared" si="18"/>
        <v>27.26</v>
      </c>
      <c r="S77" s="51">
        <f t="shared" si="17"/>
        <v>0.28576669112252395</v>
      </c>
      <c r="T77" s="52">
        <v>19.47</v>
      </c>
      <c r="U77" s="53">
        <v>34.072499999999998</v>
      </c>
      <c r="V77" s="54">
        <v>0.75</v>
      </c>
      <c r="X77" s="55"/>
    </row>
    <row r="78" spans="1:24">
      <c r="A78" s="392">
        <v>1</v>
      </c>
      <c r="B78" s="294">
        <v>270434</v>
      </c>
      <c r="C78" s="295" t="s">
        <v>87</v>
      </c>
      <c r="D78" s="296">
        <v>51.62</v>
      </c>
      <c r="E78" s="297" t="s">
        <v>88</v>
      </c>
      <c r="F78" s="395">
        <f t="shared" ref="F78:K87" si="20">ROUND($L78*(1-F$7),2)</f>
        <v>243.54</v>
      </c>
      <c r="G78" s="395">
        <f t="shared" si="20"/>
        <v>248.11</v>
      </c>
      <c r="H78" s="395">
        <f t="shared" si="20"/>
        <v>251.15</v>
      </c>
      <c r="I78" s="395">
        <f t="shared" si="20"/>
        <v>251.15</v>
      </c>
      <c r="J78" s="395">
        <f t="shared" si="20"/>
        <v>258.45</v>
      </c>
      <c r="K78" s="395">
        <f t="shared" si="20"/>
        <v>289.20999999999998</v>
      </c>
      <c r="L78" s="553">
        <v>304.43</v>
      </c>
      <c r="N78" s="61" t="s">
        <v>12</v>
      </c>
      <c r="O78" s="62" t="s">
        <v>13</v>
      </c>
      <c r="P78" s="62" t="s">
        <v>31</v>
      </c>
      <c r="Q78" s="63" t="s">
        <v>11</v>
      </c>
      <c r="R78" s="64" t="s">
        <v>5</v>
      </c>
      <c r="S78" s="65"/>
      <c r="T78" s="52"/>
      <c r="U78" s="53"/>
      <c r="V78" s="54"/>
      <c r="X78" s="55"/>
    </row>
    <row r="79" spans="1:24">
      <c r="A79" s="394">
        <v>2</v>
      </c>
      <c r="B79" s="298">
        <v>270435</v>
      </c>
      <c r="C79" s="299" t="s">
        <v>89</v>
      </c>
      <c r="D79" s="300">
        <v>58.56</v>
      </c>
      <c r="E79" s="301" t="s">
        <v>88</v>
      </c>
      <c r="F79" s="395">
        <f t="shared" si="20"/>
        <v>276.02</v>
      </c>
      <c r="G79" s="395">
        <f t="shared" si="20"/>
        <v>281.19</v>
      </c>
      <c r="H79" s="395">
        <f t="shared" si="20"/>
        <v>284.64</v>
      </c>
      <c r="I79" s="395">
        <f t="shared" si="20"/>
        <v>284.64</v>
      </c>
      <c r="J79" s="395">
        <f t="shared" si="20"/>
        <v>292.91000000000003</v>
      </c>
      <c r="K79" s="395">
        <f t="shared" si="20"/>
        <v>327.77</v>
      </c>
      <c r="L79" s="551">
        <v>345.02</v>
      </c>
      <c r="N79" s="66">
        <v>184.5</v>
      </c>
      <c r="O79" s="47">
        <f t="shared" ref="O79:O87" si="21">+N79/D79*1000</f>
        <v>3150.6147540983607</v>
      </c>
      <c r="P79" s="48">
        <v>0.65</v>
      </c>
      <c r="Q79" s="49">
        <f t="shared" ref="Q79:Q88" si="22">+N79*(P79+1)</f>
        <v>304.42500000000001</v>
      </c>
      <c r="R79" s="50">
        <f t="shared" ref="R79:R88" si="23">ROUND($Q79*(1-R$7),2)</f>
        <v>243.54</v>
      </c>
      <c r="S79" s="60">
        <f t="shared" ref="S79:S88" si="24">(R79-N79)/R79</f>
        <v>0.2424242424242424</v>
      </c>
      <c r="T79" s="52">
        <v>184.5</v>
      </c>
      <c r="U79" s="53">
        <v>304.42500000000001</v>
      </c>
      <c r="V79" s="54">
        <v>0.65</v>
      </c>
      <c r="X79" s="55"/>
    </row>
    <row r="80" spans="1:24">
      <c r="A80" s="394">
        <v>3</v>
      </c>
      <c r="B80" s="298">
        <v>270436</v>
      </c>
      <c r="C80" s="299" t="s">
        <v>90</v>
      </c>
      <c r="D80" s="300">
        <v>70.319999999999993</v>
      </c>
      <c r="E80" s="301" t="s">
        <v>88</v>
      </c>
      <c r="F80" s="395">
        <f t="shared" si="20"/>
        <v>324.72000000000003</v>
      </c>
      <c r="G80" s="395">
        <f t="shared" si="20"/>
        <v>330.81</v>
      </c>
      <c r="H80" s="395">
        <f t="shared" si="20"/>
        <v>334.87</v>
      </c>
      <c r="I80" s="395">
        <f t="shared" si="20"/>
        <v>334.87</v>
      </c>
      <c r="J80" s="395">
        <f t="shared" si="20"/>
        <v>344.59</v>
      </c>
      <c r="K80" s="395">
        <f t="shared" si="20"/>
        <v>385.61</v>
      </c>
      <c r="L80" s="551">
        <v>405.9</v>
      </c>
      <c r="N80" s="66">
        <v>209.1</v>
      </c>
      <c r="O80" s="47">
        <f t="shared" si="21"/>
        <v>2973.5494880546075</v>
      </c>
      <c r="P80" s="48">
        <v>0.65</v>
      </c>
      <c r="Q80" s="49">
        <f t="shared" si="22"/>
        <v>345.01499999999999</v>
      </c>
      <c r="R80" s="50">
        <f t="shared" si="23"/>
        <v>276.01</v>
      </c>
      <c r="S80" s="60">
        <f t="shared" si="24"/>
        <v>0.24241875294373391</v>
      </c>
      <c r="T80" s="52">
        <v>209.1</v>
      </c>
      <c r="U80" s="53">
        <v>345.01499999999999</v>
      </c>
      <c r="V80" s="54">
        <v>0.65</v>
      </c>
      <c r="X80" s="55"/>
    </row>
    <row r="81" spans="1:24">
      <c r="A81" s="394">
        <v>4</v>
      </c>
      <c r="B81" s="298">
        <v>270437</v>
      </c>
      <c r="C81" s="299" t="s">
        <v>91</v>
      </c>
      <c r="D81" s="300">
        <v>13.79</v>
      </c>
      <c r="E81" s="301" t="s">
        <v>88</v>
      </c>
      <c r="F81" s="395">
        <f t="shared" si="20"/>
        <v>114.88</v>
      </c>
      <c r="G81" s="395">
        <f t="shared" si="20"/>
        <v>117.03</v>
      </c>
      <c r="H81" s="395">
        <f t="shared" si="20"/>
        <v>118.47</v>
      </c>
      <c r="I81" s="395">
        <f t="shared" si="20"/>
        <v>118.47</v>
      </c>
      <c r="J81" s="395">
        <f t="shared" si="20"/>
        <v>121.91</v>
      </c>
      <c r="K81" s="395">
        <f t="shared" si="20"/>
        <v>136.41999999999999</v>
      </c>
      <c r="L81" s="551">
        <v>143.6</v>
      </c>
      <c r="N81" s="66">
        <v>246</v>
      </c>
      <c r="O81" s="47">
        <f t="shared" si="21"/>
        <v>17839.013778100074</v>
      </c>
      <c r="P81" s="48">
        <v>0.65</v>
      </c>
      <c r="Q81" s="49">
        <f t="shared" si="22"/>
        <v>405.9</v>
      </c>
      <c r="R81" s="50">
        <f t="shared" si="23"/>
        <v>324.72000000000003</v>
      </c>
      <c r="S81" s="60">
        <f t="shared" si="24"/>
        <v>0.24242424242424249</v>
      </c>
      <c r="T81" s="52">
        <v>246</v>
      </c>
      <c r="U81" s="53">
        <v>405.9</v>
      </c>
      <c r="V81" s="54">
        <v>0.65</v>
      </c>
      <c r="X81" s="55"/>
    </row>
    <row r="82" spans="1:24">
      <c r="A82" s="394">
        <v>5</v>
      </c>
      <c r="B82" s="298">
        <v>270438</v>
      </c>
      <c r="C82" s="299" t="s">
        <v>92</v>
      </c>
      <c r="D82" s="300">
        <v>14.85</v>
      </c>
      <c r="E82" s="301" t="s">
        <v>88</v>
      </c>
      <c r="F82" s="395">
        <f t="shared" si="20"/>
        <v>134.16999999999999</v>
      </c>
      <c r="G82" s="395">
        <f t="shared" si="20"/>
        <v>136.68</v>
      </c>
      <c r="H82" s="395">
        <f t="shared" si="20"/>
        <v>138.36000000000001</v>
      </c>
      <c r="I82" s="395">
        <f t="shared" si="20"/>
        <v>138.36000000000001</v>
      </c>
      <c r="J82" s="395">
        <f t="shared" si="20"/>
        <v>142.38</v>
      </c>
      <c r="K82" s="395">
        <f t="shared" si="20"/>
        <v>159.32</v>
      </c>
      <c r="L82" s="551">
        <v>167.71</v>
      </c>
      <c r="N82" s="66">
        <v>87.03</v>
      </c>
      <c r="O82" s="47">
        <f t="shared" si="21"/>
        <v>5860.606060606061</v>
      </c>
      <c r="P82" s="48">
        <v>0.65</v>
      </c>
      <c r="Q82" s="49">
        <f t="shared" si="22"/>
        <v>143.59950000000001</v>
      </c>
      <c r="R82" s="50">
        <f t="shared" si="23"/>
        <v>114.88</v>
      </c>
      <c r="S82" s="60">
        <f t="shared" si="24"/>
        <v>0.24242688022284117</v>
      </c>
      <c r="T82" s="52">
        <v>87.03</v>
      </c>
      <c r="U82" s="53">
        <v>143.59950000000001</v>
      </c>
      <c r="V82" s="54">
        <v>0.65</v>
      </c>
      <c r="X82" s="55"/>
    </row>
    <row r="83" spans="1:24">
      <c r="A83" s="394">
        <v>6</v>
      </c>
      <c r="B83" s="298">
        <v>270439</v>
      </c>
      <c r="C83" s="299" t="s">
        <v>93</v>
      </c>
      <c r="D83" s="300">
        <v>18.399999999999999</v>
      </c>
      <c r="E83" s="301" t="s">
        <v>88</v>
      </c>
      <c r="F83" s="395">
        <f t="shared" si="20"/>
        <v>82.8</v>
      </c>
      <c r="G83" s="395">
        <f t="shared" si="20"/>
        <v>84.35</v>
      </c>
      <c r="H83" s="395">
        <f t="shared" si="20"/>
        <v>85.39</v>
      </c>
      <c r="I83" s="395">
        <f t="shared" si="20"/>
        <v>85.39</v>
      </c>
      <c r="J83" s="395">
        <f t="shared" si="20"/>
        <v>87.87</v>
      </c>
      <c r="K83" s="395">
        <f t="shared" si="20"/>
        <v>98.33</v>
      </c>
      <c r="L83" s="551">
        <v>103.5</v>
      </c>
      <c r="N83" s="66">
        <v>101.64</v>
      </c>
      <c r="O83" s="47">
        <f t="shared" si="21"/>
        <v>5523.913043478261</v>
      </c>
      <c r="P83" s="48">
        <v>0.65</v>
      </c>
      <c r="Q83" s="49">
        <f t="shared" si="22"/>
        <v>167.70599999999999</v>
      </c>
      <c r="R83" s="50">
        <f t="shared" si="23"/>
        <v>134.16</v>
      </c>
      <c r="S83" s="60">
        <f t="shared" si="24"/>
        <v>0.24239713774597493</v>
      </c>
      <c r="T83" s="52">
        <v>101.64</v>
      </c>
      <c r="U83" s="53">
        <v>167.70599999999999</v>
      </c>
      <c r="V83" s="54">
        <v>0.65</v>
      </c>
      <c r="X83" s="55"/>
    </row>
    <row r="84" spans="1:24">
      <c r="A84" s="394">
        <v>7</v>
      </c>
      <c r="B84" s="298">
        <v>270440</v>
      </c>
      <c r="C84" s="299" t="s">
        <v>94</v>
      </c>
      <c r="D84" s="300">
        <v>0.09</v>
      </c>
      <c r="E84" s="301" t="s">
        <v>95</v>
      </c>
      <c r="F84" s="395">
        <f t="shared" si="20"/>
        <v>1.94</v>
      </c>
      <c r="G84" s="395">
        <f t="shared" si="20"/>
        <v>1.97</v>
      </c>
      <c r="H84" s="395">
        <f t="shared" si="20"/>
        <v>2</v>
      </c>
      <c r="I84" s="395">
        <f t="shared" si="20"/>
        <v>2</v>
      </c>
      <c r="J84" s="395">
        <f t="shared" si="20"/>
        <v>2.0499999999999998</v>
      </c>
      <c r="K84" s="395">
        <f t="shared" si="20"/>
        <v>2.2999999999999998</v>
      </c>
      <c r="L84" s="551">
        <v>2.42</v>
      </c>
      <c r="N84" s="66">
        <v>62.73</v>
      </c>
      <c r="O84" s="47">
        <f t="shared" si="21"/>
        <v>697000</v>
      </c>
      <c r="P84" s="48">
        <v>0.65</v>
      </c>
      <c r="Q84" s="49">
        <f t="shared" si="22"/>
        <v>103.50449999999999</v>
      </c>
      <c r="R84" s="50">
        <f t="shared" si="23"/>
        <v>82.8</v>
      </c>
      <c r="S84" s="60">
        <f t="shared" si="24"/>
        <v>0.2423913043478261</v>
      </c>
      <c r="T84" s="52">
        <v>62.73</v>
      </c>
      <c r="U84" s="53">
        <v>103.50449999999999</v>
      </c>
      <c r="V84" s="54">
        <v>0.65</v>
      </c>
      <c r="X84" s="55"/>
    </row>
    <row r="85" spans="1:24">
      <c r="A85" s="394">
        <v>8</v>
      </c>
      <c r="B85" s="298">
        <v>645392</v>
      </c>
      <c r="C85" s="299" t="s">
        <v>96</v>
      </c>
      <c r="D85" s="300">
        <v>0.04</v>
      </c>
      <c r="E85" s="301" t="s">
        <v>88</v>
      </c>
      <c r="F85" s="395">
        <f t="shared" si="20"/>
        <v>1.82</v>
      </c>
      <c r="G85" s="395">
        <f t="shared" si="20"/>
        <v>1.86</v>
      </c>
      <c r="H85" s="395">
        <f t="shared" si="20"/>
        <v>1.88</v>
      </c>
      <c r="I85" s="395">
        <f t="shared" si="20"/>
        <v>1.88</v>
      </c>
      <c r="J85" s="395">
        <f t="shared" si="20"/>
        <v>1.94</v>
      </c>
      <c r="K85" s="395">
        <f t="shared" si="20"/>
        <v>2.17</v>
      </c>
      <c r="L85" s="551">
        <v>2.2799999999999998</v>
      </c>
      <c r="N85" s="66">
        <v>1.05</v>
      </c>
      <c r="O85" s="47">
        <f t="shared" si="21"/>
        <v>26250</v>
      </c>
      <c r="P85" s="48">
        <v>1.3</v>
      </c>
      <c r="Q85" s="49">
        <f t="shared" si="22"/>
        <v>2.415</v>
      </c>
      <c r="R85" s="50">
        <f t="shared" si="23"/>
        <v>1.93</v>
      </c>
      <c r="S85" s="60">
        <f t="shared" si="24"/>
        <v>0.45595854922279788</v>
      </c>
      <c r="T85" s="52">
        <v>1.05</v>
      </c>
      <c r="U85" s="53">
        <v>2.415</v>
      </c>
      <c r="V85" s="54">
        <v>1.3</v>
      </c>
      <c r="X85" s="55"/>
    </row>
    <row r="86" spans="1:24">
      <c r="A86" s="394">
        <v>9</v>
      </c>
      <c r="B86" s="298">
        <v>645393</v>
      </c>
      <c r="C86" s="299" t="s">
        <v>60</v>
      </c>
      <c r="D86" s="300">
        <v>0.04</v>
      </c>
      <c r="E86" s="301" t="s">
        <v>35</v>
      </c>
      <c r="F86" s="395">
        <f t="shared" si="20"/>
        <v>0.93</v>
      </c>
      <c r="G86" s="395">
        <f t="shared" si="20"/>
        <v>0.95</v>
      </c>
      <c r="H86" s="395">
        <f t="shared" si="20"/>
        <v>0.96</v>
      </c>
      <c r="I86" s="395">
        <f t="shared" si="20"/>
        <v>0.96</v>
      </c>
      <c r="J86" s="395">
        <f t="shared" si="20"/>
        <v>0.98</v>
      </c>
      <c r="K86" s="395">
        <f t="shared" si="20"/>
        <v>1.1000000000000001</v>
      </c>
      <c r="L86" s="551">
        <v>1.1599999999999999</v>
      </c>
      <c r="N86" s="66">
        <v>0.63960000000000006</v>
      </c>
      <c r="O86" s="47">
        <f t="shared" si="21"/>
        <v>15990.000000000002</v>
      </c>
      <c r="P86" s="48">
        <v>2.57</v>
      </c>
      <c r="Q86" s="49">
        <f t="shared" si="22"/>
        <v>2.283372</v>
      </c>
      <c r="R86" s="50">
        <f t="shared" si="23"/>
        <v>1.83</v>
      </c>
      <c r="S86" s="60">
        <f t="shared" si="24"/>
        <v>0.6504918032786885</v>
      </c>
      <c r="T86" s="52">
        <v>0.63960000000000006</v>
      </c>
      <c r="U86" s="53">
        <v>2.283372</v>
      </c>
      <c r="V86" s="54">
        <v>2.57</v>
      </c>
      <c r="X86" s="55"/>
    </row>
    <row r="87" spans="1:24">
      <c r="A87" s="394">
        <v>10</v>
      </c>
      <c r="B87" s="298">
        <v>270504</v>
      </c>
      <c r="C87" s="299" t="s">
        <v>39</v>
      </c>
      <c r="D87" s="300">
        <v>6.0000000000000001E-3</v>
      </c>
      <c r="E87" s="301" t="s">
        <v>35</v>
      </c>
      <c r="F87" s="395">
        <f t="shared" si="20"/>
        <v>2</v>
      </c>
      <c r="G87" s="395">
        <f t="shared" si="20"/>
        <v>2.04</v>
      </c>
      <c r="H87" s="395">
        <f t="shared" si="20"/>
        <v>2.06</v>
      </c>
      <c r="I87" s="395">
        <f t="shared" si="20"/>
        <v>2.06</v>
      </c>
      <c r="J87" s="395">
        <f t="shared" si="20"/>
        <v>2.12</v>
      </c>
      <c r="K87" s="395">
        <f t="shared" si="20"/>
        <v>2.38</v>
      </c>
      <c r="L87" s="551">
        <v>2.5</v>
      </c>
      <c r="N87" s="67">
        <v>0.68</v>
      </c>
      <c r="O87" s="68">
        <f t="shared" si="21"/>
        <v>113333.33333333334</v>
      </c>
      <c r="P87" s="69">
        <f>+P50</f>
        <v>0.7</v>
      </c>
      <c r="Q87" s="70">
        <f t="shared" si="22"/>
        <v>1.1560000000000001</v>
      </c>
      <c r="R87" s="71">
        <f t="shared" si="23"/>
        <v>0.92</v>
      </c>
      <c r="S87" s="72">
        <f t="shared" si="24"/>
        <v>0.2608695652173913</v>
      </c>
      <c r="T87" s="52">
        <v>0.68</v>
      </c>
      <c r="U87" s="53">
        <v>1.1560000000000001</v>
      </c>
      <c r="V87" s="54">
        <v>0.7</v>
      </c>
      <c r="X87" s="55"/>
    </row>
    <row r="88" spans="1:24" ht="15" thickBot="1">
      <c r="A88" s="408"/>
      <c r="B88" s="409"/>
      <c r="C88" s="409"/>
      <c r="D88" s="409"/>
      <c r="E88" s="410"/>
      <c r="F88" s="411"/>
      <c r="G88" s="411"/>
      <c r="H88" s="411"/>
      <c r="I88" s="411"/>
      <c r="J88" s="411"/>
      <c r="K88" s="411"/>
      <c r="L88" s="412"/>
      <c r="N88" s="67">
        <v>1.47</v>
      </c>
      <c r="O88" s="68" t="e">
        <f>+N88/D88*1000</f>
        <v>#DIV/0!</v>
      </c>
      <c r="P88" s="69">
        <f>+P51</f>
        <v>0.7</v>
      </c>
      <c r="Q88" s="70">
        <f t="shared" si="22"/>
        <v>2.4990000000000001</v>
      </c>
      <c r="R88" s="71">
        <f t="shared" si="23"/>
        <v>2</v>
      </c>
      <c r="S88" s="72">
        <f t="shared" si="24"/>
        <v>0.26500000000000001</v>
      </c>
      <c r="T88" s="52">
        <v>1.47</v>
      </c>
      <c r="U88" s="53">
        <v>2.4990000000000001</v>
      </c>
      <c r="V88" s="54">
        <v>0.7</v>
      </c>
      <c r="X88" s="55"/>
    </row>
    <row r="89" spans="1:24" ht="15" thickBot="1">
      <c r="A89" s="397" t="s">
        <v>86</v>
      </c>
      <c r="B89" s="387"/>
      <c r="C89" s="388"/>
      <c r="D89" s="388"/>
      <c r="E89" s="389"/>
      <c r="F89" s="390"/>
      <c r="G89" s="390"/>
      <c r="H89" s="390"/>
      <c r="I89" s="390"/>
      <c r="J89" s="390"/>
      <c r="K89" s="390"/>
      <c r="L89" s="398"/>
      <c r="N89" s="77"/>
      <c r="O89" s="78"/>
      <c r="P89" s="78"/>
      <c r="Q89" s="78"/>
      <c r="R89" s="79"/>
      <c r="S89" s="80"/>
      <c r="T89" s="81"/>
      <c r="U89" s="82"/>
      <c r="V89" s="83"/>
    </row>
    <row r="90" spans="1:24">
      <c r="A90" s="392" t="s">
        <v>19</v>
      </c>
      <c r="B90" s="294">
        <v>679990</v>
      </c>
      <c r="C90" s="295" t="s">
        <v>97</v>
      </c>
      <c r="D90" s="296">
        <v>2.5830000000000002</v>
      </c>
      <c r="E90" s="297" t="s">
        <v>21</v>
      </c>
      <c r="F90" s="395">
        <f t="shared" ref="F90:K90" si="25">ROUND($L90*(1-F$7),2)</f>
        <v>16.47</v>
      </c>
      <c r="G90" s="395">
        <f t="shared" si="25"/>
        <v>16.78</v>
      </c>
      <c r="H90" s="395">
        <f t="shared" si="25"/>
        <v>16.989999999999998</v>
      </c>
      <c r="I90" s="395">
        <f t="shared" si="25"/>
        <v>16.989999999999998</v>
      </c>
      <c r="J90" s="395">
        <f t="shared" si="25"/>
        <v>17.48</v>
      </c>
      <c r="K90" s="395">
        <f t="shared" si="25"/>
        <v>19.559999999999999</v>
      </c>
      <c r="L90" s="396">
        <v>20.59</v>
      </c>
      <c r="N90" s="61" t="s">
        <v>12</v>
      </c>
      <c r="O90" s="62" t="s">
        <v>13</v>
      </c>
      <c r="P90" s="62" t="s">
        <v>31</v>
      </c>
      <c r="Q90" s="63" t="s">
        <v>11</v>
      </c>
      <c r="R90" s="64" t="s">
        <v>5</v>
      </c>
      <c r="S90" s="65"/>
      <c r="T90" s="52"/>
      <c r="U90" s="53"/>
      <c r="V90" s="54"/>
    </row>
    <row r="91" spans="1:24" ht="15" thickBot="1">
      <c r="A91" s="408"/>
      <c r="B91" s="409"/>
      <c r="C91" s="409"/>
      <c r="D91" s="409"/>
      <c r="E91" s="410"/>
      <c r="F91" s="411"/>
      <c r="G91" s="411"/>
      <c r="H91" s="411"/>
      <c r="I91" s="411"/>
      <c r="J91" s="411"/>
      <c r="K91" s="411"/>
      <c r="L91" s="412"/>
      <c r="N91" s="66">
        <f>+T91</f>
        <v>12.48</v>
      </c>
      <c r="O91" s="47" t="e">
        <f>+N91/D91*1000</f>
        <v>#DIV/0!</v>
      </c>
      <c r="P91" s="48">
        <v>0.65</v>
      </c>
      <c r="Q91" s="49">
        <f>+N91*(P91+1)</f>
        <v>20.591999999999999</v>
      </c>
      <c r="R91" s="50">
        <f>ROUND($Q91*(1-R$7),2)</f>
        <v>16.47</v>
      </c>
      <c r="S91" s="60">
        <f>(R91-N91)/R91</f>
        <v>0.24225865209471759</v>
      </c>
      <c r="T91" s="52">
        <v>12.48</v>
      </c>
      <c r="U91" s="53">
        <v>20.591999999999999</v>
      </c>
      <c r="V91" s="54">
        <v>0.65</v>
      </c>
      <c r="X91" s="55"/>
    </row>
    <row r="92" spans="1:24" ht="15" thickBot="1">
      <c r="A92" s="397" t="s">
        <v>379</v>
      </c>
      <c r="B92" s="413"/>
      <c r="C92" s="388"/>
      <c r="D92" s="388"/>
      <c r="E92" s="389"/>
      <c r="F92" s="390"/>
      <c r="G92" s="390"/>
      <c r="H92" s="390"/>
      <c r="I92" s="390"/>
      <c r="J92" s="390"/>
      <c r="K92" s="390"/>
      <c r="L92" s="398"/>
    </row>
    <row r="93" spans="1:24" s="1" customFormat="1" ht="15" thickBot="1">
      <c r="A93" s="414"/>
      <c r="B93" s="415" t="s">
        <v>1</v>
      </c>
      <c r="C93" s="416" t="s">
        <v>2</v>
      </c>
      <c r="D93" s="417" t="s">
        <v>3</v>
      </c>
      <c r="E93" s="418" t="s">
        <v>380</v>
      </c>
      <c r="F93" s="419" t="s">
        <v>5</v>
      </c>
      <c r="G93" s="420" t="s">
        <v>381</v>
      </c>
      <c r="H93" s="420" t="s">
        <v>9</v>
      </c>
      <c r="I93" s="421" t="s">
        <v>7</v>
      </c>
      <c r="J93" s="422" t="s">
        <v>8</v>
      </c>
      <c r="K93" s="423" t="s">
        <v>10</v>
      </c>
      <c r="L93" s="424" t="s">
        <v>382</v>
      </c>
      <c r="N93" s="61" t="s">
        <v>12</v>
      </c>
      <c r="O93" s="62" t="s">
        <v>13</v>
      </c>
      <c r="P93" s="62" t="s">
        <v>31</v>
      </c>
      <c r="Q93" s="63" t="s">
        <v>11</v>
      </c>
      <c r="R93" s="64" t="s">
        <v>5</v>
      </c>
      <c r="T93" s="195"/>
      <c r="U93" s="196"/>
    </row>
    <row r="94" spans="1:24" s="1" customFormat="1" ht="15" thickBot="1">
      <c r="A94" s="425" t="s">
        <v>19</v>
      </c>
      <c r="B94" s="426">
        <v>194715</v>
      </c>
      <c r="C94" s="427" t="s">
        <v>383</v>
      </c>
      <c r="D94" s="428">
        <v>66.319999999999993</v>
      </c>
      <c r="E94" s="429" t="s">
        <v>384</v>
      </c>
      <c r="F94" s="395">
        <f t="shared" ref="F94:K94" si="26">ROUND($L94*(1-F$7),2)</f>
        <v>152.55000000000001</v>
      </c>
      <c r="G94" s="395">
        <f t="shared" si="26"/>
        <v>155.41</v>
      </c>
      <c r="H94" s="395">
        <f t="shared" si="26"/>
        <v>157.32</v>
      </c>
      <c r="I94" s="395">
        <f t="shared" si="26"/>
        <v>157.32</v>
      </c>
      <c r="J94" s="395">
        <f t="shared" si="26"/>
        <v>161.88999999999999</v>
      </c>
      <c r="K94" s="395">
        <f t="shared" si="26"/>
        <v>181.16</v>
      </c>
      <c r="L94" s="396">
        <f>VLOOKUP(+CP_2026!B94,'CERCAPRO Marzo9'!B74:L74,11,)</f>
        <v>190.69</v>
      </c>
      <c r="N94" s="199"/>
      <c r="O94" s="200"/>
      <c r="P94" s="200"/>
      <c r="Q94" s="200">
        <v>5.26</v>
      </c>
      <c r="R94" s="201"/>
      <c r="T94" s="195"/>
      <c r="U94" s="196"/>
    </row>
    <row r="95" spans="1:24" s="1" customFormat="1" ht="15" thickBot="1">
      <c r="A95" s="34" t="s">
        <v>222</v>
      </c>
      <c r="B95" s="35"/>
      <c r="C95" s="36"/>
      <c r="D95" s="36"/>
      <c r="E95" s="36"/>
      <c r="F95" s="194"/>
      <c r="G95" s="194"/>
      <c r="H95" s="194"/>
      <c r="I95" s="194"/>
      <c r="J95" s="194"/>
      <c r="K95" s="194"/>
      <c r="L95" s="12" t="s">
        <v>11</v>
      </c>
      <c r="N95" s="61" t="s">
        <v>12</v>
      </c>
      <c r="O95" s="62" t="s">
        <v>13</v>
      </c>
      <c r="P95" s="62" t="s">
        <v>31</v>
      </c>
      <c r="Q95" s="63" t="s">
        <v>11</v>
      </c>
      <c r="R95" s="64" t="s">
        <v>5</v>
      </c>
      <c r="T95" s="195"/>
      <c r="U95" s="196"/>
    </row>
    <row r="96" spans="1:24" s="1" customFormat="1">
      <c r="A96" s="42" t="s">
        <v>19</v>
      </c>
      <c r="B96" s="197">
        <v>188053</v>
      </c>
      <c r="C96" s="43" t="s">
        <v>223</v>
      </c>
      <c r="D96" s="44">
        <v>8</v>
      </c>
      <c r="E96" s="44" t="s">
        <v>35</v>
      </c>
      <c r="F96" s="198"/>
      <c r="G96" s="198"/>
      <c r="H96" s="198"/>
      <c r="I96" s="198"/>
      <c r="J96" s="198"/>
      <c r="K96" s="198"/>
      <c r="L96" s="554">
        <v>29.51</v>
      </c>
    </row>
    <row r="97" spans="1:12" s="1" customFormat="1">
      <c r="A97" s="42" t="s">
        <v>19</v>
      </c>
      <c r="B97" s="197">
        <v>188051</v>
      </c>
      <c r="C97" s="43" t="s">
        <v>224</v>
      </c>
      <c r="D97" s="44">
        <v>17</v>
      </c>
      <c r="E97" s="44" t="s">
        <v>35</v>
      </c>
      <c r="F97" s="198"/>
      <c r="G97" s="198"/>
      <c r="H97" s="198"/>
      <c r="I97" s="198"/>
      <c r="J97" s="198"/>
      <c r="K97" s="198"/>
      <c r="L97" s="554">
        <v>46.15</v>
      </c>
    </row>
    <row r="98" spans="1:12" s="1" customFormat="1">
      <c r="A98" s="42" t="s">
        <v>19</v>
      </c>
      <c r="B98" s="197">
        <v>188055</v>
      </c>
      <c r="C98" s="43" t="s">
        <v>225</v>
      </c>
      <c r="D98" s="44">
        <v>16</v>
      </c>
      <c r="E98" s="44" t="s">
        <v>35</v>
      </c>
      <c r="F98" s="198"/>
      <c r="G98" s="198"/>
      <c r="H98" s="198"/>
      <c r="I98" s="198"/>
      <c r="J98" s="198"/>
      <c r="K98" s="198"/>
      <c r="L98" s="554">
        <v>57.27</v>
      </c>
    </row>
    <row r="99" spans="1:12" s="1" customFormat="1">
      <c r="A99" s="42" t="s">
        <v>19</v>
      </c>
      <c r="B99" s="197">
        <v>188057</v>
      </c>
      <c r="C99" s="43" t="s">
        <v>226</v>
      </c>
      <c r="D99" s="44">
        <v>20</v>
      </c>
      <c r="E99" s="44" t="s">
        <v>35</v>
      </c>
      <c r="F99" s="198"/>
      <c r="G99" s="198"/>
      <c r="H99" s="198"/>
      <c r="I99" s="198"/>
      <c r="J99" s="198"/>
      <c r="K99" s="198"/>
      <c r="L99" s="554">
        <v>70.010000000000005</v>
      </c>
    </row>
    <row r="100" spans="1:12" s="1" customFormat="1">
      <c r="A100" s="42" t="s">
        <v>19</v>
      </c>
      <c r="B100" s="197">
        <v>188072</v>
      </c>
      <c r="C100" s="43" t="s">
        <v>227</v>
      </c>
      <c r="D100" s="44">
        <v>4</v>
      </c>
      <c r="E100" s="44" t="s">
        <v>35</v>
      </c>
      <c r="F100" s="198"/>
      <c r="G100" s="198"/>
      <c r="H100" s="198"/>
      <c r="I100" s="198"/>
      <c r="J100" s="198"/>
      <c r="K100" s="198"/>
      <c r="L100" s="554">
        <v>17.239999999999998</v>
      </c>
    </row>
  </sheetData>
  <mergeCells count="2">
    <mergeCell ref="A5:L5"/>
    <mergeCell ref="T5:V5"/>
  </mergeCells>
  <conditionalFormatting sqref="T1:T8 U6:V6">
    <cfRule type="cellIs" dxfId="0" priority="1" operator="greaterThan">
      <formula>0</formula>
    </cfRule>
  </conditionalFormatting>
  <printOptions horizontalCentered="1" verticalCentered="1"/>
  <pageMargins left="0.39370078740157483" right="0.31496062992125984" top="0.35433070866141736" bottom="0.39370078740157483" header="0.31496062992125984" footer="0.31496062992125984"/>
  <pageSetup paperSize="9" scale="65" fitToHeight="2" orientation="landscape" r:id="rId1"/>
  <rowBreaks count="1" manualBreakCount="1">
    <brk id="55" max="11"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BF0F6-A09C-4838-B01E-7CC7B1391597}">
  <sheetPr codeName="Hoja13">
    <tabColor theme="9" tint="-0.249977111117893"/>
  </sheetPr>
  <dimension ref="A4:N74"/>
  <sheetViews>
    <sheetView showGridLines="0" zoomScaleNormal="100" zoomScaleSheetLayoutView="92" workbookViewId="0">
      <pane ySplit="7" topLeftCell="A64" activePane="bottomLeft" state="frozen"/>
      <selection pane="bottomLeft" activeCell="A6" sqref="A6"/>
    </sheetView>
  </sheetViews>
  <sheetFormatPr baseColWidth="10" defaultColWidth="11.54296875" defaultRowHeight="14.5"/>
  <cols>
    <col min="1" max="1" width="3.08984375" style="405" customWidth="1"/>
    <col min="2" max="2" width="10.08984375" style="405" customWidth="1"/>
    <col min="3" max="3" width="52.36328125" style="405" customWidth="1"/>
    <col min="4" max="4" width="7.453125" style="405" customWidth="1"/>
    <col min="5" max="5" width="15.453125" style="406" customWidth="1"/>
    <col min="6" max="6" width="10.6328125" style="405" customWidth="1"/>
    <col min="7" max="7" width="12.6328125" style="405" customWidth="1"/>
    <col min="8" max="8" width="10.6328125" style="405" customWidth="1"/>
    <col min="9" max="9" width="11.36328125" style="405" customWidth="1"/>
    <col min="10" max="10" width="10.90625" style="405" customWidth="1"/>
    <col min="11" max="11" width="10.36328125" style="405" customWidth="1"/>
    <col min="12" max="12" width="14.36328125" style="512" customWidth="1"/>
    <col min="13" max="13" width="35" style="540" customWidth="1"/>
    <col min="14" max="16384" width="11.54296875" style="405"/>
  </cols>
  <sheetData>
    <row r="4" spans="1:14" ht="13.5" customHeight="1" thickBot="1"/>
    <row r="5" spans="1:14" ht="32.25" customHeight="1" thickBot="1">
      <c r="A5" s="626" t="s">
        <v>426</v>
      </c>
      <c r="B5" s="627"/>
      <c r="C5" s="627"/>
      <c r="D5" s="627"/>
      <c r="E5" s="627"/>
      <c r="F5" s="627"/>
      <c r="G5" s="627"/>
      <c r="H5" s="627"/>
      <c r="I5" s="627"/>
      <c r="J5" s="627"/>
      <c r="K5" s="627"/>
      <c r="L5" s="628"/>
    </row>
    <row r="6" spans="1:14" ht="15" customHeight="1" thickBot="1">
      <c r="A6" s="415"/>
      <c r="B6" s="415" t="s">
        <v>1</v>
      </c>
      <c r="C6" s="416" t="s">
        <v>2</v>
      </c>
      <c r="D6" s="417" t="s">
        <v>3</v>
      </c>
      <c r="E6" s="513" t="s">
        <v>4</v>
      </c>
      <c r="F6" s="514" t="s">
        <v>5</v>
      </c>
      <c r="G6" s="515" t="s">
        <v>394</v>
      </c>
      <c r="H6" s="515" t="s">
        <v>9</v>
      </c>
      <c r="I6" s="516" t="s">
        <v>7</v>
      </c>
      <c r="J6" s="517" t="s">
        <v>8</v>
      </c>
      <c r="K6" s="518" t="s">
        <v>10</v>
      </c>
      <c r="L6" s="519" t="s">
        <v>382</v>
      </c>
    </row>
    <row r="7" spans="1:14" ht="7.25" customHeight="1" thickBot="1">
      <c r="A7" s="520"/>
      <c r="B7" s="520"/>
      <c r="C7" s="521"/>
      <c r="D7" s="522"/>
      <c r="E7" s="523"/>
      <c r="F7" s="524">
        <v>0.2</v>
      </c>
      <c r="G7" s="524">
        <v>0.185</v>
      </c>
      <c r="H7" s="524">
        <v>0.15104000000000001</v>
      </c>
      <c r="I7" s="524">
        <v>0.17499999999999999</v>
      </c>
      <c r="J7" s="524">
        <v>0.17499999999999999</v>
      </c>
      <c r="K7" s="524">
        <v>0.05</v>
      </c>
      <c r="L7" s="525"/>
    </row>
    <row r="8" spans="1:14" ht="15" thickBot="1">
      <c r="A8" s="386" t="s">
        <v>395</v>
      </c>
      <c r="B8" s="387"/>
      <c r="C8" s="388"/>
      <c r="D8" s="388"/>
      <c r="E8" s="389"/>
      <c r="F8" s="388"/>
      <c r="G8" s="388"/>
      <c r="H8" s="388"/>
      <c r="I8" s="388"/>
      <c r="J8" s="388"/>
      <c r="K8" s="388"/>
      <c r="L8" s="388"/>
      <c r="M8" s="543" t="s">
        <v>400</v>
      </c>
    </row>
    <row r="9" spans="1:14">
      <c r="A9" s="394" t="s">
        <v>19</v>
      </c>
      <c r="B9" s="526">
        <v>737811</v>
      </c>
      <c r="C9" s="299" t="s">
        <v>396</v>
      </c>
      <c r="D9" s="300">
        <v>6.78</v>
      </c>
      <c r="E9" s="301" t="s">
        <v>21</v>
      </c>
      <c r="F9" s="527">
        <f t="shared" ref="F9:K11" si="0">ROUND($L9*(1-F$7),2)</f>
        <v>39.43</v>
      </c>
      <c r="G9" s="527">
        <f t="shared" si="0"/>
        <v>40.17</v>
      </c>
      <c r="H9" s="527">
        <f t="shared" si="0"/>
        <v>41.85</v>
      </c>
      <c r="I9" s="527">
        <f t="shared" si="0"/>
        <v>40.659999999999997</v>
      </c>
      <c r="J9" s="527">
        <f t="shared" si="0"/>
        <v>40.659999999999997</v>
      </c>
      <c r="K9" s="527">
        <f t="shared" si="0"/>
        <v>46.83</v>
      </c>
      <c r="L9" s="534">
        <v>49.29</v>
      </c>
      <c r="M9" s="542" t="s">
        <v>401</v>
      </c>
    </row>
    <row r="10" spans="1:14">
      <c r="A10" s="394" t="s">
        <v>19</v>
      </c>
      <c r="B10" s="526">
        <v>737812</v>
      </c>
      <c r="C10" s="299" t="s">
        <v>397</v>
      </c>
      <c r="D10" s="300">
        <v>12.3</v>
      </c>
      <c r="E10" s="301" t="s">
        <v>21</v>
      </c>
      <c r="F10" s="527">
        <f t="shared" si="0"/>
        <v>58.94</v>
      </c>
      <c r="G10" s="527">
        <f t="shared" si="0"/>
        <v>60.04</v>
      </c>
      <c r="H10" s="527">
        <f t="shared" si="0"/>
        <v>62.54</v>
      </c>
      <c r="I10" s="527">
        <f t="shared" si="0"/>
        <v>60.78</v>
      </c>
      <c r="J10" s="527">
        <f t="shared" si="0"/>
        <v>60.78</v>
      </c>
      <c r="K10" s="527">
        <f t="shared" si="0"/>
        <v>69.989999999999995</v>
      </c>
      <c r="L10" s="534">
        <v>73.67</v>
      </c>
      <c r="M10" s="542" t="s">
        <v>401</v>
      </c>
    </row>
    <row r="11" spans="1:14" ht="15" thickBot="1">
      <c r="A11" s="394" t="s">
        <v>19</v>
      </c>
      <c r="B11" s="526">
        <v>737813</v>
      </c>
      <c r="C11" s="299" t="s">
        <v>398</v>
      </c>
      <c r="D11" s="300">
        <v>13.64</v>
      </c>
      <c r="E11" s="301" t="s">
        <v>21</v>
      </c>
      <c r="F11" s="527">
        <f t="shared" si="0"/>
        <v>65.709999999999994</v>
      </c>
      <c r="G11" s="527">
        <f t="shared" si="0"/>
        <v>66.94</v>
      </c>
      <c r="H11" s="527">
        <f t="shared" si="0"/>
        <v>69.73</v>
      </c>
      <c r="I11" s="527">
        <f t="shared" si="0"/>
        <v>67.77</v>
      </c>
      <c r="J11" s="527">
        <f t="shared" si="0"/>
        <v>67.77</v>
      </c>
      <c r="K11" s="527">
        <f t="shared" si="0"/>
        <v>78.03</v>
      </c>
      <c r="L11" s="534">
        <v>82.14</v>
      </c>
      <c r="M11" s="542" t="s">
        <v>401</v>
      </c>
    </row>
    <row r="12" spans="1:14" ht="15" thickBot="1">
      <c r="A12" s="397" t="s">
        <v>41</v>
      </c>
      <c r="B12" s="387"/>
      <c r="C12" s="388"/>
      <c r="D12" s="388"/>
      <c r="E12" s="389"/>
      <c r="F12" s="388"/>
      <c r="G12" s="388"/>
      <c r="H12" s="388"/>
      <c r="I12" s="388"/>
      <c r="J12" s="388"/>
      <c r="K12" s="388"/>
      <c r="L12" s="388"/>
      <c r="M12" s="388"/>
    </row>
    <row r="13" spans="1:14">
      <c r="A13" s="394" t="s">
        <v>19</v>
      </c>
      <c r="B13" s="526">
        <v>189168</v>
      </c>
      <c r="C13" s="299" t="s">
        <v>42</v>
      </c>
      <c r="D13" s="300">
        <v>11.88</v>
      </c>
      <c r="E13" s="301" t="s">
        <v>399</v>
      </c>
      <c r="F13" s="527">
        <f t="shared" ref="F13:K28" si="1">ROUND($L13*(1-F$7),2)</f>
        <v>54.3</v>
      </c>
      <c r="G13" s="527">
        <f t="shared" si="1"/>
        <v>55.32</v>
      </c>
      <c r="H13" s="527">
        <f t="shared" si="1"/>
        <v>57.63</v>
      </c>
      <c r="I13" s="527">
        <f t="shared" si="1"/>
        <v>56</v>
      </c>
      <c r="J13" s="527">
        <f t="shared" si="1"/>
        <v>56</v>
      </c>
      <c r="K13" s="527">
        <f t="shared" si="1"/>
        <v>64.489999999999995</v>
      </c>
      <c r="L13" s="534">
        <v>67.88</v>
      </c>
      <c r="M13" s="541"/>
      <c r="N13" s="528"/>
    </row>
    <row r="14" spans="1:14">
      <c r="A14" s="394" t="s">
        <v>19</v>
      </c>
      <c r="B14" s="526">
        <v>189483</v>
      </c>
      <c r="C14" s="299" t="s">
        <v>43</v>
      </c>
      <c r="D14" s="300">
        <v>21.95</v>
      </c>
      <c r="E14" s="301" t="s">
        <v>21</v>
      </c>
      <c r="F14" s="527">
        <f t="shared" si="1"/>
        <v>95.83</v>
      </c>
      <c r="G14" s="527">
        <f t="shared" si="1"/>
        <v>97.63</v>
      </c>
      <c r="H14" s="527">
        <f t="shared" si="1"/>
        <v>101.7</v>
      </c>
      <c r="I14" s="527">
        <f t="shared" si="1"/>
        <v>98.83</v>
      </c>
      <c r="J14" s="527">
        <f t="shared" si="1"/>
        <v>98.83</v>
      </c>
      <c r="K14" s="527">
        <f t="shared" si="1"/>
        <v>113.8</v>
      </c>
      <c r="L14" s="534">
        <v>119.79</v>
      </c>
      <c r="M14" s="541"/>
      <c r="N14" s="528"/>
    </row>
    <row r="15" spans="1:14">
      <c r="A15" s="394" t="s">
        <v>19</v>
      </c>
      <c r="B15" s="526">
        <v>273709</v>
      </c>
      <c r="C15" s="299" t="s">
        <v>44</v>
      </c>
      <c r="D15" s="300">
        <v>24.08</v>
      </c>
      <c r="E15" s="301" t="s">
        <v>21</v>
      </c>
      <c r="F15" s="527">
        <f t="shared" si="1"/>
        <v>110.21</v>
      </c>
      <c r="G15" s="527">
        <f t="shared" si="1"/>
        <v>112.27</v>
      </c>
      <c r="H15" s="527">
        <f t="shared" si="1"/>
        <v>116.95</v>
      </c>
      <c r="I15" s="527">
        <f t="shared" si="1"/>
        <v>113.65</v>
      </c>
      <c r="J15" s="527">
        <f t="shared" si="1"/>
        <v>113.65</v>
      </c>
      <c r="K15" s="527">
        <f t="shared" si="1"/>
        <v>130.87</v>
      </c>
      <c r="L15" s="534">
        <v>137.76</v>
      </c>
      <c r="M15" s="541"/>
      <c r="N15" s="528"/>
    </row>
    <row r="16" spans="1:14">
      <c r="A16" s="399" t="s">
        <v>19</v>
      </c>
      <c r="B16" s="400">
        <v>270872</v>
      </c>
      <c r="C16" s="401" t="s">
        <v>45</v>
      </c>
      <c r="D16" s="300">
        <v>4.62</v>
      </c>
      <c r="E16" s="301" t="s">
        <v>21</v>
      </c>
      <c r="F16" s="527">
        <f t="shared" si="1"/>
        <v>21.74</v>
      </c>
      <c r="G16" s="527">
        <f t="shared" si="1"/>
        <v>22.14</v>
      </c>
      <c r="H16" s="527">
        <f t="shared" si="1"/>
        <v>23.07</v>
      </c>
      <c r="I16" s="527">
        <f t="shared" si="1"/>
        <v>22.41</v>
      </c>
      <c r="J16" s="527">
        <f t="shared" si="1"/>
        <v>22.41</v>
      </c>
      <c r="K16" s="527">
        <f t="shared" si="1"/>
        <v>25.81</v>
      </c>
      <c r="L16" s="535">
        <v>27.169451476793245</v>
      </c>
      <c r="M16" s="541"/>
      <c r="N16" s="528"/>
    </row>
    <row r="17" spans="1:14">
      <c r="A17" s="399" t="s">
        <v>19</v>
      </c>
      <c r="B17" s="400">
        <v>270873</v>
      </c>
      <c r="C17" s="401" t="s">
        <v>46</v>
      </c>
      <c r="D17" s="300">
        <v>4.43</v>
      </c>
      <c r="E17" s="301" t="s">
        <v>21</v>
      </c>
      <c r="F17" s="527">
        <f t="shared" si="1"/>
        <v>19.23</v>
      </c>
      <c r="G17" s="527">
        <f t="shared" si="1"/>
        <v>19.59</v>
      </c>
      <c r="H17" s="527">
        <f t="shared" si="1"/>
        <v>20.399999999999999</v>
      </c>
      <c r="I17" s="527">
        <f t="shared" si="1"/>
        <v>19.829999999999998</v>
      </c>
      <c r="J17" s="527">
        <f t="shared" si="1"/>
        <v>19.829999999999998</v>
      </c>
      <c r="K17" s="527">
        <f t="shared" si="1"/>
        <v>22.83</v>
      </c>
      <c r="L17" s="535">
        <v>24.032658227848099</v>
      </c>
      <c r="M17" s="541"/>
      <c r="N17" s="528"/>
    </row>
    <row r="18" spans="1:14">
      <c r="A18" s="399" t="s">
        <v>19</v>
      </c>
      <c r="B18" s="400">
        <v>270874</v>
      </c>
      <c r="C18" s="401" t="s">
        <v>47</v>
      </c>
      <c r="D18" s="300">
        <v>7.29</v>
      </c>
      <c r="E18" s="301" t="s">
        <v>21</v>
      </c>
      <c r="F18" s="527">
        <f t="shared" si="1"/>
        <v>28.72</v>
      </c>
      <c r="G18" s="527">
        <f t="shared" si="1"/>
        <v>29.25</v>
      </c>
      <c r="H18" s="527">
        <f t="shared" si="1"/>
        <v>30.47</v>
      </c>
      <c r="I18" s="527">
        <f t="shared" si="1"/>
        <v>29.61</v>
      </c>
      <c r="J18" s="527">
        <f t="shared" si="1"/>
        <v>29.61</v>
      </c>
      <c r="K18" s="527">
        <f t="shared" si="1"/>
        <v>34.1</v>
      </c>
      <c r="L18" s="535">
        <v>35.895443037974687</v>
      </c>
      <c r="M18" s="541"/>
      <c r="N18" s="528"/>
    </row>
    <row r="19" spans="1:14">
      <c r="A19" s="399" t="s">
        <v>19</v>
      </c>
      <c r="B19" s="400">
        <v>270876</v>
      </c>
      <c r="C19" s="401" t="s">
        <v>48</v>
      </c>
      <c r="D19" s="300">
        <v>7.3</v>
      </c>
      <c r="E19" s="301" t="s">
        <v>21</v>
      </c>
      <c r="F19" s="527">
        <f t="shared" si="1"/>
        <v>28.45</v>
      </c>
      <c r="G19" s="527">
        <f t="shared" si="1"/>
        <v>28.98</v>
      </c>
      <c r="H19" s="527">
        <f t="shared" si="1"/>
        <v>30.19</v>
      </c>
      <c r="I19" s="527">
        <f t="shared" si="1"/>
        <v>29.34</v>
      </c>
      <c r="J19" s="527">
        <f t="shared" si="1"/>
        <v>29.34</v>
      </c>
      <c r="K19" s="527">
        <f t="shared" si="1"/>
        <v>33.78</v>
      </c>
      <c r="L19" s="535">
        <v>35.558649789029538</v>
      </c>
      <c r="M19" s="541"/>
      <c r="N19" s="528"/>
    </row>
    <row r="20" spans="1:14">
      <c r="A20" s="399" t="s">
        <v>378</v>
      </c>
      <c r="B20" s="400">
        <v>665190</v>
      </c>
      <c r="C20" s="401" t="s">
        <v>49</v>
      </c>
      <c r="D20" s="300">
        <v>9.48</v>
      </c>
      <c r="E20" s="301" t="s">
        <v>21</v>
      </c>
      <c r="F20" s="527">
        <f t="shared" si="1"/>
        <v>51.52</v>
      </c>
      <c r="G20" s="527">
        <f t="shared" si="1"/>
        <v>52.49</v>
      </c>
      <c r="H20" s="527">
        <f t="shared" si="1"/>
        <v>54.67</v>
      </c>
      <c r="I20" s="527">
        <f t="shared" si="1"/>
        <v>53.13</v>
      </c>
      <c r="J20" s="527">
        <f t="shared" si="1"/>
        <v>53.13</v>
      </c>
      <c r="K20" s="527">
        <f t="shared" si="1"/>
        <v>61.18</v>
      </c>
      <c r="L20" s="535">
        <v>64.399324894514763</v>
      </c>
      <c r="M20" s="541"/>
      <c r="N20" s="528"/>
    </row>
    <row r="21" spans="1:14">
      <c r="A21" s="399" t="s">
        <v>378</v>
      </c>
      <c r="B21" s="400">
        <v>270526</v>
      </c>
      <c r="C21" s="401" t="s">
        <v>50</v>
      </c>
      <c r="D21" s="300">
        <v>13.73</v>
      </c>
      <c r="E21" s="301" t="s">
        <v>21</v>
      </c>
      <c r="F21" s="527">
        <f t="shared" si="1"/>
        <v>46.53</v>
      </c>
      <c r="G21" s="527">
        <f t="shared" si="1"/>
        <v>47.4</v>
      </c>
      <c r="H21" s="527">
        <f t="shared" si="1"/>
        <v>49.37</v>
      </c>
      <c r="I21" s="527">
        <f t="shared" si="1"/>
        <v>47.98</v>
      </c>
      <c r="J21" s="527">
        <f t="shared" si="1"/>
        <v>47.98</v>
      </c>
      <c r="K21" s="527">
        <f t="shared" si="1"/>
        <v>55.25</v>
      </c>
      <c r="L21" s="535">
        <v>58.156708860759494</v>
      </c>
      <c r="M21" s="541"/>
      <c r="N21" s="528"/>
    </row>
    <row r="22" spans="1:14">
      <c r="A22" s="399" t="s">
        <v>378</v>
      </c>
      <c r="B22" s="400">
        <v>270527</v>
      </c>
      <c r="C22" s="401" t="s">
        <v>51</v>
      </c>
      <c r="D22" s="300">
        <v>16.93</v>
      </c>
      <c r="E22" s="301" t="s">
        <v>21</v>
      </c>
      <c r="F22" s="527">
        <f t="shared" si="1"/>
        <v>68.459999999999994</v>
      </c>
      <c r="G22" s="527">
        <f t="shared" si="1"/>
        <v>69.739999999999995</v>
      </c>
      <c r="H22" s="527">
        <f t="shared" si="1"/>
        <v>72.650000000000006</v>
      </c>
      <c r="I22" s="527">
        <f t="shared" si="1"/>
        <v>70.599999999999994</v>
      </c>
      <c r="J22" s="527">
        <f t="shared" si="1"/>
        <v>70.599999999999994</v>
      </c>
      <c r="K22" s="527">
        <f t="shared" si="1"/>
        <v>81.290000000000006</v>
      </c>
      <c r="L22" s="535">
        <v>85.57274261603375</v>
      </c>
      <c r="M22" s="541"/>
      <c r="N22" s="528"/>
    </row>
    <row r="23" spans="1:14">
      <c r="A23" s="394" t="s">
        <v>19</v>
      </c>
      <c r="B23" s="298">
        <v>189161</v>
      </c>
      <c r="C23" s="299" t="s">
        <v>53</v>
      </c>
      <c r="D23" s="300">
        <v>1.64</v>
      </c>
      <c r="E23" s="301" t="s">
        <v>21</v>
      </c>
      <c r="F23" s="527">
        <f t="shared" si="1"/>
        <v>34.58</v>
      </c>
      <c r="G23" s="527">
        <f t="shared" si="1"/>
        <v>35.229999999999997</v>
      </c>
      <c r="H23" s="527">
        <f t="shared" si="1"/>
        <v>36.700000000000003</v>
      </c>
      <c r="I23" s="527">
        <f t="shared" si="1"/>
        <v>35.659999999999997</v>
      </c>
      <c r="J23" s="527">
        <f t="shared" si="1"/>
        <v>35.659999999999997</v>
      </c>
      <c r="K23" s="527">
        <f t="shared" si="1"/>
        <v>41.07</v>
      </c>
      <c r="L23" s="534">
        <v>43.23</v>
      </c>
      <c r="M23" s="541"/>
      <c r="N23" s="528"/>
    </row>
    <row r="24" spans="1:14">
      <c r="A24" s="394" t="s">
        <v>19</v>
      </c>
      <c r="B24" s="298">
        <v>189186</v>
      </c>
      <c r="C24" s="299" t="s">
        <v>54</v>
      </c>
      <c r="D24" s="300">
        <v>1.7</v>
      </c>
      <c r="E24" s="301" t="s">
        <v>21</v>
      </c>
      <c r="F24" s="527">
        <f t="shared" si="1"/>
        <v>24.2</v>
      </c>
      <c r="G24" s="527">
        <f t="shared" si="1"/>
        <v>24.65</v>
      </c>
      <c r="H24" s="527">
        <f t="shared" si="1"/>
        <v>25.68</v>
      </c>
      <c r="I24" s="527">
        <f t="shared" si="1"/>
        <v>24.96</v>
      </c>
      <c r="J24" s="527">
        <f t="shared" si="1"/>
        <v>24.96</v>
      </c>
      <c r="K24" s="527">
        <f t="shared" si="1"/>
        <v>28.74</v>
      </c>
      <c r="L24" s="534">
        <v>30.25</v>
      </c>
      <c r="M24" s="541"/>
      <c r="N24" s="528"/>
    </row>
    <row r="25" spans="1:14">
      <c r="A25" s="394" t="s">
        <v>19</v>
      </c>
      <c r="B25" s="298">
        <v>270512</v>
      </c>
      <c r="C25" s="299" t="s">
        <v>55</v>
      </c>
      <c r="D25" s="300">
        <v>2.59</v>
      </c>
      <c r="E25" s="301" t="s">
        <v>21</v>
      </c>
      <c r="F25" s="527">
        <f t="shared" si="1"/>
        <v>24.03</v>
      </c>
      <c r="G25" s="527">
        <f t="shared" si="1"/>
        <v>24.48</v>
      </c>
      <c r="H25" s="527">
        <f t="shared" si="1"/>
        <v>25.5</v>
      </c>
      <c r="I25" s="527">
        <f t="shared" si="1"/>
        <v>24.78</v>
      </c>
      <c r="J25" s="527">
        <f t="shared" si="1"/>
        <v>24.78</v>
      </c>
      <c r="K25" s="527">
        <f t="shared" si="1"/>
        <v>28.54</v>
      </c>
      <c r="L25" s="534">
        <v>30.04</v>
      </c>
      <c r="M25" s="541"/>
      <c r="N25" s="528"/>
    </row>
    <row r="26" spans="1:14">
      <c r="A26" s="394" t="s">
        <v>19</v>
      </c>
      <c r="B26" s="400">
        <v>272173</v>
      </c>
      <c r="C26" s="401" t="s">
        <v>56</v>
      </c>
      <c r="D26" s="300">
        <v>0.03</v>
      </c>
      <c r="E26" s="301" t="s">
        <v>21</v>
      </c>
      <c r="F26" s="527">
        <f t="shared" si="1"/>
        <v>0.91</v>
      </c>
      <c r="G26" s="527">
        <f t="shared" si="1"/>
        <v>0.92</v>
      </c>
      <c r="H26" s="527">
        <f t="shared" si="1"/>
        <v>0.96</v>
      </c>
      <c r="I26" s="527">
        <f t="shared" si="1"/>
        <v>0.93</v>
      </c>
      <c r="J26" s="527">
        <f t="shared" si="1"/>
        <v>0.93</v>
      </c>
      <c r="K26" s="527">
        <f t="shared" si="1"/>
        <v>1.08</v>
      </c>
      <c r="L26" s="535">
        <v>1.1330801687763714</v>
      </c>
      <c r="M26" s="541"/>
      <c r="N26" s="528"/>
    </row>
    <row r="27" spans="1:14">
      <c r="A27" s="394" t="s">
        <v>19</v>
      </c>
      <c r="B27" s="298">
        <v>189162</v>
      </c>
      <c r="C27" s="299" t="s">
        <v>57</v>
      </c>
      <c r="D27" s="300">
        <v>1E-3</v>
      </c>
      <c r="E27" s="301" t="s">
        <v>35</v>
      </c>
      <c r="F27" s="527">
        <f t="shared" si="1"/>
        <v>0.48</v>
      </c>
      <c r="G27" s="527">
        <f t="shared" si="1"/>
        <v>0.49</v>
      </c>
      <c r="H27" s="527">
        <f t="shared" si="1"/>
        <v>0.51</v>
      </c>
      <c r="I27" s="527">
        <f t="shared" si="1"/>
        <v>0.5</v>
      </c>
      <c r="J27" s="527">
        <f t="shared" si="1"/>
        <v>0.5</v>
      </c>
      <c r="K27" s="527">
        <f t="shared" si="1"/>
        <v>0.56999999999999995</v>
      </c>
      <c r="L27" s="534">
        <v>0.6</v>
      </c>
      <c r="M27" s="541"/>
      <c r="N27" s="528"/>
    </row>
    <row r="28" spans="1:14">
      <c r="A28" s="394" t="s">
        <v>19</v>
      </c>
      <c r="B28" s="298">
        <v>189488</v>
      </c>
      <c r="C28" s="299" t="s">
        <v>58</v>
      </c>
      <c r="D28" s="300">
        <v>0.04</v>
      </c>
      <c r="E28" s="301" t="s">
        <v>35</v>
      </c>
      <c r="F28" s="527">
        <f t="shared" si="1"/>
        <v>1.23</v>
      </c>
      <c r="G28" s="527">
        <f t="shared" si="1"/>
        <v>1.26</v>
      </c>
      <c r="H28" s="527">
        <f t="shared" si="1"/>
        <v>1.31</v>
      </c>
      <c r="I28" s="527">
        <f t="shared" si="1"/>
        <v>1.27</v>
      </c>
      <c r="J28" s="527">
        <f t="shared" si="1"/>
        <v>1.27</v>
      </c>
      <c r="K28" s="527">
        <f t="shared" si="1"/>
        <v>1.46</v>
      </c>
      <c r="L28" s="534">
        <v>1.54</v>
      </c>
      <c r="M28" s="541"/>
      <c r="N28" s="528"/>
    </row>
    <row r="29" spans="1:14">
      <c r="A29" s="394" t="s">
        <v>19</v>
      </c>
      <c r="B29" s="298">
        <v>189197</v>
      </c>
      <c r="C29" s="299" t="s">
        <v>346</v>
      </c>
      <c r="D29" s="300">
        <v>0.03</v>
      </c>
      <c r="E29" s="301" t="s">
        <v>35</v>
      </c>
      <c r="F29" s="527">
        <f t="shared" ref="F29:K37" si="2">ROUND($L29*(1-F$7),2)</f>
        <v>1.5</v>
      </c>
      <c r="G29" s="527">
        <f t="shared" si="2"/>
        <v>1.52</v>
      </c>
      <c r="H29" s="527">
        <f t="shared" si="2"/>
        <v>1.59</v>
      </c>
      <c r="I29" s="527">
        <f t="shared" si="2"/>
        <v>1.54</v>
      </c>
      <c r="J29" s="527">
        <f t="shared" si="2"/>
        <v>1.54</v>
      </c>
      <c r="K29" s="527">
        <f t="shared" si="2"/>
        <v>1.78</v>
      </c>
      <c r="L29" s="534">
        <v>1.87</v>
      </c>
      <c r="M29" s="541"/>
      <c r="N29" s="528"/>
    </row>
    <row r="30" spans="1:14">
      <c r="A30" s="394" t="s">
        <v>19</v>
      </c>
      <c r="B30" s="400">
        <v>270501</v>
      </c>
      <c r="C30" s="401" t="s">
        <v>37</v>
      </c>
      <c r="D30" s="300">
        <v>0.02</v>
      </c>
      <c r="E30" s="301" t="s">
        <v>35</v>
      </c>
      <c r="F30" s="527">
        <f t="shared" si="2"/>
        <v>0.7</v>
      </c>
      <c r="G30" s="527">
        <f t="shared" si="2"/>
        <v>0.72</v>
      </c>
      <c r="H30" s="527">
        <f t="shared" si="2"/>
        <v>0.75</v>
      </c>
      <c r="I30" s="527">
        <f t="shared" si="2"/>
        <v>0.73</v>
      </c>
      <c r="J30" s="527">
        <f t="shared" si="2"/>
        <v>0.73</v>
      </c>
      <c r="K30" s="527">
        <f t="shared" si="2"/>
        <v>0.84</v>
      </c>
      <c r="L30" s="535">
        <v>0.88</v>
      </c>
      <c r="M30" s="541"/>
      <c r="N30" s="528"/>
    </row>
    <row r="31" spans="1:14">
      <c r="A31" s="394" t="s">
        <v>19</v>
      </c>
      <c r="B31" s="298">
        <v>270502</v>
      </c>
      <c r="C31" s="299" t="s">
        <v>38</v>
      </c>
      <c r="D31" s="300">
        <v>0.03</v>
      </c>
      <c r="E31" s="301" t="s">
        <v>35</v>
      </c>
      <c r="F31" s="527">
        <f t="shared" si="2"/>
        <v>0.74</v>
      </c>
      <c r="G31" s="527">
        <f t="shared" si="2"/>
        <v>0.76</v>
      </c>
      <c r="H31" s="527">
        <f t="shared" si="2"/>
        <v>0.79</v>
      </c>
      <c r="I31" s="527">
        <f t="shared" si="2"/>
        <v>0.77</v>
      </c>
      <c r="J31" s="527">
        <f t="shared" si="2"/>
        <v>0.77</v>
      </c>
      <c r="K31" s="527">
        <f t="shared" si="2"/>
        <v>0.88</v>
      </c>
      <c r="L31" s="534">
        <v>0.93</v>
      </c>
      <c r="M31" s="541"/>
      <c r="N31" s="528"/>
    </row>
    <row r="32" spans="1:14">
      <c r="A32" s="394" t="s">
        <v>19</v>
      </c>
      <c r="B32" s="298">
        <v>270503</v>
      </c>
      <c r="C32" s="299" t="s">
        <v>59</v>
      </c>
      <c r="D32" s="300">
        <v>3.3000000000000002E-2</v>
      </c>
      <c r="E32" s="301" t="s">
        <v>35</v>
      </c>
      <c r="F32" s="527">
        <f t="shared" si="2"/>
        <v>0.97</v>
      </c>
      <c r="G32" s="527">
        <f t="shared" si="2"/>
        <v>0.99</v>
      </c>
      <c r="H32" s="527">
        <f t="shared" si="2"/>
        <v>1.03</v>
      </c>
      <c r="I32" s="527">
        <f t="shared" si="2"/>
        <v>1</v>
      </c>
      <c r="J32" s="527">
        <f t="shared" si="2"/>
        <v>1</v>
      </c>
      <c r="K32" s="527">
        <f t="shared" si="2"/>
        <v>1.1499999999999999</v>
      </c>
      <c r="L32" s="534">
        <v>1.21</v>
      </c>
      <c r="M32" s="541"/>
      <c r="N32" s="528"/>
    </row>
    <row r="33" spans="1:14">
      <c r="A33" s="394" t="s">
        <v>19</v>
      </c>
      <c r="B33" s="298">
        <v>645393</v>
      </c>
      <c r="C33" s="299" t="s">
        <v>60</v>
      </c>
      <c r="D33" s="300">
        <v>0.04</v>
      </c>
      <c r="E33" s="301" t="s">
        <v>35</v>
      </c>
      <c r="F33" s="527">
        <f t="shared" si="2"/>
        <v>0.93</v>
      </c>
      <c r="G33" s="527">
        <f t="shared" si="2"/>
        <v>0.95</v>
      </c>
      <c r="H33" s="527">
        <f t="shared" si="2"/>
        <v>0.98</v>
      </c>
      <c r="I33" s="527">
        <f t="shared" si="2"/>
        <v>0.96</v>
      </c>
      <c r="J33" s="527">
        <f t="shared" si="2"/>
        <v>0.96</v>
      </c>
      <c r="K33" s="527">
        <f t="shared" si="2"/>
        <v>1.1000000000000001</v>
      </c>
      <c r="L33" s="534">
        <v>1.1599999999999999</v>
      </c>
      <c r="M33" s="541"/>
      <c r="N33" s="528"/>
    </row>
    <row r="34" spans="1:14">
      <c r="A34" s="394" t="s">
        <v>19</v>
      </c>
      <c r="B34" s="298">
        <v>270504</v>
      </c>
      <c r="C34" s="299" t="s">
        <v>39</v>
      </c>
      <c r="D34" s="300">
        <v>0.01</v>
      </c>
      <c r="E34" s="301" t="s">
        <v>35</v>
      </c>
      <c r="F34" s="527">
        <f t="shared" si="2"/>
        <v>2</v>
      </c>
      <c r="G34" s="527">
        <f t="shared" si="2"/>
        <v>2.04</v>
      </c>
      <c r="H34" s="527">
        <f t="shared" si="2"/>
        <v>2.12</v>
      </c>
      <c r="I34" s="527">
        <f t="shared" si="2"/>
        <v>2.06</v>
      </c>
      <c r="J34" s="527">
        <f t="shared" si="2"/>
        <v>2.06</v>
      </c>
      <c r="K34" s="527">
        <f t="shared" si="2"/>
        <v>2.38</v>
      </c>
      <c r="L34" s="534">
        <v>2.5</v>
      </c>
      <c r="M34" s="541"/>
      <c r="N34" s="528"/>
    </row>
    <row r="35" spans="1:14">
      <c r="A35" s="394" t="s">
        <v>19</v>
      </c>
      <c r="B35" s="298">
        <v>189489</v>
      </c>
      <c r="C35" s="299" t="s">
        <v>61</v>
      </c>
      <c r="D35" s="300">
        <v>0.01</v>
      </c>
      <c r="E35" s="301" t="s">
        <v>35</v>
      </c>
      <c r="F35" s="527">
        <f t="shared" si="2"/>
        <v>2.1</v>
      </c>
      <c r="G35" s="527">
        <f t="shared" si="2"/>
        <v>2.14</v>
      </c>
      <c r="H35" s="527">
        <f t="shared" si="2"/>
        <v>2.2200000000000002</v>
      </c>
      <c r="I35" s="527">
        <f t="shared" si="2"/>
        <v>2.16</v>
      </c>
      <c r="J35" s="527">
        <f t="shared" si="2"/>
        <v>2.16</v>
      </c>
      <c r="K35" s="527">
        <f t="shared" si="2"/>
        <v>2.4900000000000002</v>
      </c>
      <c r="L35" s="534">
        <v>2.62</v>
      </c>
      <c r="M35" s="541"/>
      <c r="N35" s="528"/>
    </row>
    <row r="36" spans="1:14">
      <c r="A36" s="394" t="s">
        <v>19</v>
      </c>
      <c r="B36" s="400">
        <v>189205</v>
      </c>
      <c r="C36" s="401" t="s">
        <v>62</v>
      </c>
      <c r="D36" s="300">
        <v>0.56000000000000005</v>
      </c>
      <c r="E36" s="301" t="s">
        <v>35</v>
      </c>
      <c r="F36" s="527">
        <f t="shared" si="2"/>
        <v>3.42</v>
      </c>
      <c r="G36" s="527">
        <f t="shared" si="2"/>
        <v>3.48</v>
      </c>
      <c r="H36" s="527">
        <f t="shared" si="2"/>
        <v>3.63</v>
      </c>
      <c r="I36" s="527">
        <f t="shared" si="2"/>
        <v>3.52</v>
      </c>
      <c r="J36" s="527">
        <f t="shared" si="2"/>
        <v>3.52</v>
      </c>
      <c r="K36" s="527">
        <f t="shared" si="2"/>
        <v>4.0599999999999996</v>
      </c>
      <c r="L36" s="535">
        <v>4.2724850099933374</v>
      </c>
      <c r="M36" s="541"/>
      <c r="N36" s="528"/>
    </row>
    <row r="37" spans="1:14" ht="15" thickBot="1">
      <c r="A37" s="402" t="s">
        <v>19</v>
      </c>
      <c r="B37" s="529">
        <v>683471</v>
      </c>
      <c r="C37" s="530" t="s">
        <v>63</v>
      </c>
      <c r="D37" s="304">
        <v>0.4</v>
      </c>
      <c r="E37" s="305" t="s">
        <v>35</v>
      </c>
      <c r="F37" s="531">
        <f t="shared" si="2"/>
        <v>30.01</v>
      </c>
      <c r="G37" s="531">
        <f t="shared" si="2"/>
        <v>30.58</v>
      </c>
      <c r="H37" s="531">
        <f t="shared" si="2"/>
        <v>31.85</v>
      </c>
      <c r="I37" s="531">
        <f t="shared" si="2"/>
        <v>30.95</v>
      </c>
      <c r="J37" s="531">
        <f t="shared" si="2"/>
        <v>30.95</v>
      </c>
      <c r="K37" s="531">
        <f t="shared" si="2"/>
        <v>35.64</v>
      </c>
      <c r="L37" s="535">
        <v>37.517039922103216</v>
      </c>
      <c r="M37" s="541"/>
      <c r="N37" s="528"/>
    </row>
    <row r="38" spans="1:14" ht="15" thickBot="1">
      <c r="A38" s="397" t="s">
        <v>64</v>
      </c>
      <c r="B38" s="387"/>
      <c r="C38" s="388"/>
      <c r="D38" s="388"/>
      <c r="E38" s="389"/>
      <c r="F38" s="388"/>
      <c r="G38" s="388"/>
      <c r="H38" s="388"/>
      <c r="I38" s="388"/>
      <c r="J38" s="388"/>
      <c r="K38" s="388"/>
      <c r="L38" s="388"/>
      <c r="M38" s="541"/>
      <c r="N38" s="528"/>
    </row>
    <row r="39" spans="1:14">
      <c r="A39" s="392" t="s">
        <v>19</v>
      </c>
      <c r="B39" s="294">
        <v>189498</v>
      </c>
      <c r="C39" s="295" t="s">
        <v>65</v>
      </c>
      <c r="D39" s="296">
        <v>23.93</v>
      </c>
      <c r="E39" s="297" t="s">
        <v>24</v>
      </c>
      <c r="F39" s="532">
        <f t="shared" ref="F39:K54" si="3">ROUND($L39*(1-F$7),2)</f>
        <v>462</v>
      </c>
      <c r="G39" s="532">
        <f t="shared" si="3"/>
        <v>470.66</v>
      </c>
      <c r="H39" s="527">
        <f t="shared" si="3"/>
        <v>490.27</v>
      </c>
      <c r="I39" s="532">
        <f t="shared" si="3"/>
        <v>476.44</v>
      </c>
      <c r="J39" s="532">
        <f t="shared" si="3"/>
        <v>476.44</v>
      </c>
      <c r="K39" s="532">
        <f t="shared" si="3"/>
        <v>548.63</v>
      </c>
      <c r="L39" s="536">
        <v>577.5</v>
      </c>
      <c r="M39" s="541"/>
      <c r="N39" s="528"/>
    </row>
    <row r="40" spans="1:14">
      <c r="A40" s="394" t="s">
        <v>19</v>
      </c>
      <c r="B40" s="298">
        <v>270495</v>
      </c>
      <c r="C40" s="299" t="s">
        <v>66</v>
      </c>
      <c r="D40" s="300">
        <v>23.93</v>
      </c>
      <c r="E40" s="301" t="s">
        <v>24</v>
      </c>
      <c r="F40" s="527">
        <f t="shared" si="3"/>
        <v>462</v>
      </c>
      <c r="G40" s="527">
        <f t="shared" si="3"/>
        <v>470.66</v>
      </c>
      <c r="H40" s="527">
        <f t="shared" si="3"/>
        <v>490.27</v>
      </c>
      <c r="I40" s="527">
        <f t="shared" si="3"/>
        <v>476.44</v>
      </c>
      <c r="J40" s="527">
        <f t="shared" si="3"/>
        <v>476.44</v>
      </c>
      <c r="K40" s="527">
        <f t="shared" si="3"/>
        <v>548.63</v>
      </c>
      <c r="L40" s="534">
        <v>577.5</v>
      </c>
      <c r="M40" s="541"/>
    </row>
    <row r="41" spans="1:14">
      <c r="A41" s="394" t="s">
        <v>19</v>
      </c>
      <c r="B41" s="298">
        <v>189149</v>
      </c>
      <c r="C41" s="299" t="s">
        <v>67</v>
      </c>
      <c r="D41" s="300">
        <v>49.47</v>
      </c>
      <c r="E41" s="301" t="s">
        <v>24</v>
      </c>
      <c r="F41" s="527">
        <f t="shared" si="3"/>
        <v>759</v>
      </c>
      <c r="G41" s="527">
        <f t="shared" si="3"/>
        <v>773.23</v>
      </c>
      <c r="H41" s="527">
        <f t="shared" si="3"/>
        <v>805.45</v>
      </c>
      <c r="I41" s="527">
        <f t="shared" si="3"/>
        <v>782.72</v>
      </c>
      <c r="J41" s="527">
        <f t="shared" si="3"/>
        <v>782.72</v>
      </c>
      <c r="K41" s="527">
        <f t="shared" si="3"/>
        <v>901.31</v>
      </c>
      <c r="L41" s="534">
        <v>948.75</v>
      </c>
      <c r="M41" s="541"/>
    </row>
    <row r="42" spans="1:14">
      <c r="A42" s="394" t="s">
        <v>19</v>
      </c>
      <c r="B42" s="298">
        <v>189211</v>
      </c>
      <c r="C42" s="299" t="s">
        <v>68</v>
      </c>
      <c r="D42" s="300">
        <v>49.47</v>
      </c>
      <c r="E42" s="301" t="s">
        <v>24</v>
      </c>
      <c r="F42" s="527">
        <f t="shared" si="3"/>
        <v>759</v>
      </c>
      <c r="G42" s="527">
        <f t="shared" si="3"/>
        <v>773.23</v>
      </c>
      <c r="H42" s="527">
        <f t="shared" si="3"/>
        <v>805.45</v>
      </c>
      <c r="I42" s="527">
        <f t="shared" si="3"/>
        <v>782.72</v>
      </c>
      <c r="J42" s="527">
        <f t="shared" si="3"/>
        <v>782.72</v>
      </c>
      <c r="K42" s="527">
        <f t="shared" si="3"/>
        <v>901.31</v>
      </c>
      <c r="L42" s="534">
        <v>948.75</v>
      </c>
      <c r="M42" s="541"/>
    </row>
    <row r="43" spans="1:14">
      <c r="A43" s="394" t="s">
        <v>19</v>
      </c>
      <c r="B43" s="298">
        <v>189212</v>
      </c>
      <c r="C43" s="299" t="s">
        <v>69</v>
      </c>
      <c r="D43" s="300">
        <v>70.94</v>
      </c>
      <c r="E43" s="301" t="s">
        <v>24</v>
      </c>
      <c r="F43" s="527">
        <f t="shared" si="3"/>
        <v>1148.4000000000001</v>
      </c>
      <c r="G43" s="527">
        <f t="shared" si="3"/>
        <v>1169.93</v>
      </c>
      <c r="H43" s="527">
        <f t="shared" si="3"/>
        <v>1218.68</v>
      </c>
      <c r="I43" s="527">
        <f t="shared" si="3"/>
        <v>1184.29</v>
      </c>
      <c r="J43" s="527">
        <f t="shared" si="3"/>
        <v>1184.29</v>
      </c>
      <c r="K43" s="527">
        <f t="shared" si="3"/>
        <v>1363.73</v>
      </c>
      <c r="L43" s="534">
        <v>1435.5</v>
      </c>
      <c r="M43" s="541"/>
    </row>
    <row r="44" spans="1:14">
      <c r="A44" s="394" t="s">
        <v>19</v>
      </c>
      <c r="B44" s="298">
        <v>189218</v>
      </c>
      <c r="C44" s="299" t="s">
        <v>70</v>
      </c>
      <c r="D44" s="300">
        <v>84.19</v>
      </c>
      <c r="E44" s="301" t="s">
        <v>24</v>
      </c>
      <c r="F44" s="527">
        <f t="shared" si="3"/>
        <v>1295.25</v>
      </c>
      <c r="G44" s="527">
        <f t="shared" si="3"/>
        <v>1319.53</v>
      </c>
      <c r="H44" s="527">
        <f t="shared" si="3"/>
        <v>1374.52</v>
      </c>
      <c r="I44" s="527">
        <f t="shared" si="3"/>
        <v>1335.72</v>
      </c>
      <c r="J44" s="527">
        <f t="shared" si="3"/>
        <v>1335.72</v>
      </c>
      <c r="K44" s="527">
        <f t="shared" si="3"/>
        <v>1538.11</v>
      </c>
      <c r="L44" s="534">
        <v>1619.06</v>
      </c>
      <c r="M44" s="541"/>
    </row>
    <row r="45" spans="1:14">
      <c r="A45" s="394" t="s">
        <v>19</v>
      </c>
      <c r="B45" s="298">
        <v>189150</v>
      </c>
      <c r="C45" s="299" t="s">
        <v>71</v>
      </c>
      <c r="D45" s="300">
        <v>111.04</v>
      </c>
      <c r="E45" s="301" t="s">
        <v>24</v>
      </c>
      <c r="F45" s="527">
        <f t="shared" si="3"/>
        <v>1636.8</v>
      </c>
      <c r="G45" s="527">
        <f t="shared" si="3"/>
        <v>1667.49</v>
      </c>
      <c r="H45" s="527">
        <f t="shared" si="3"/>
        <v>1736.97</v>
      </c>
      <c r="I45" s="527">
        <f t="shared" si="3"/>
        <v>1687.95</v>
      </c>
      <c r="J45" s="527">
        <f t="shared" si="3"/>
        <v>1687.95</v>
      </c>
      <c r="K45" s="527">
        <f t="shared" si="3"/>
        <v>1943.7</v>
      </c>
      <c r="L45" s="534">
        <v>2046</v>
      </c>
      <c r="M45" s="541"/>
    </row>
    <row r="46" spans="1:14">
      <c r="A46" s="394" t="s">
        <v>19</v>
      </c>
      <c r="B46" s="298">
        <v>189151</v>
      </c>
      <c r="C46" s="299" t="s">
        <v>72</v>
      </c>
      <c r="D46" s="300">
        <v>145.72999999999999</v>
      </c>
      <c r="E46" s="301" t="s">
        <v>24</v>
      </c>
      <c r="F46" s="527">
        <f t="shared" si="3"/>
        <v>2062.5</v>
      </c>
      <c r="G46" s="527">
        <f t="shared" si="3"/>
        <v>2101.1799999999998</v>
      </c>
      <c r="H46" s="527">
        <f t="shared" si="3"/>
        <v>2188.73</v>
      </c>
      <c r="I46" s="527">
        <f t="shared" si="3"/>
        <v>2126.96</v>
      </c>
      <c r="J46" s="527">
        <f t="shared" si="3"/>
        <v>2126.96</v>
      </c>
      <c r="K46" s="527">
        <f t="shared" si="3"/>
        <v>2449.2199999999998</v>
      </c>
      <c r="L46" s="534">
        <v>2578.13</v>
      </c>
      <c r="M46" s="541"/>
    </row>
    <row r="47" spans="1:14">
      <c r="A47" s="394" t="s">
        <v>19</v>
      </c>
      <c r="B47" s="298">
        <v>189152</v>
      </c>
      <c r="C47" s="299" t="s">
        <v>73</v>
      </c>
      <c r="D47" s="300">
        <v>207.44</v>
      </c>
      <c r="E47" s="301" t="s">
        <v>24</v>
      </c>
      <c r="F47" s="527">
        <f t="shared" si="3"/>
        <v>2235.75</v>
      </c>
      <c r="G47" s="527">
        <f t="shared" si="3"/>
        <v>2277.67</v>
      </c>
      <c r="H47" s="527">
        <f t="shared" si="3"/>
        <v>2372.58</v>
      </c>
      <c r="I47" s="527">
        <f t="shared" si="3"/>
        <v>2305.62</v>
      </c>
      <c r="J47" s="527">
        <f t="shared" si="3"/>
        <v>2305.62</v>
      </c>
      <c r="K47" s="527">
        <f t="shared" si="3"/>
        <v>2654.96</v>
      </c>
      <c r="L47" s="534">
        <v>2794.69</v>
      </c>
      <c r="M47" s="541"/>
    </row>
    <row r="48" spans="1:14">
      <c r="A48" s="394" t="s">
        <v>19</v>
      </c>
      <c r="B48" s="298">
        <v>189213</v>
      </c>
      <c r="C48" s="299" t="s">
        <v>74</v>
      </c>
      <c r="D48" s="300">
        <v>247.37</v>
      </c>
      <c r="E48" s="301" t="s">
        <v>24</v>
      </c>
      <c r="F48" s="527">
        <f t="shared" si="3"/>
        <v>2788.5</v>
      </c>
      <c r="G48" s="527">
        <f t="shared" si="3"/>
        <v>2840.79</v>
      </c>
      <c r="H48" s="527">
        <f t="shared" si="3"/>
        <v>2959.16</v>
      </c>
      <c r="I48" s="527">
        <f t="shared" si="3"/>
        <v>2875.64</v>
      </c>
      <c r="J48" s="527">
        <f t="shared" si="3"/>
        <v>2875.64</v>
      </c>
      <c r="K48" s="527">
        <f t="shared" si="3"/>
        <v>3311.35</v>
      </c>
      <c r="L48" s="534">
        <v>3485.63</v>
      </c>
      <c r="M48" s="541"/>
    </row>
    <row r="49" spans="1:13">
      <c r="A49" s="394" t="s">
        <v>19</v>
      </c>
      <c r="B49" s="298">
        <v>189153</v>
      </c>
      <c r="C49" s="299" t="s">
        <v>75</v>
      </c>
      <c r="D49" s="300">
        <v>287.39</v>
      </c>
      <c r="E49" s="301" t="s">
        <v>24</v>
      </c>
      <c r="F49" s="527">
        <f t="shared" si="3"/>
        <v>2607</v>
      </c>
      <c r="G49" s="527">
        <f t="shared" si="3"/>
        <v>2655.88</v>
      </c>
      <c r="H49" s="527">
        <f t="shared" si="3"/>
        <v>2766.55</v>
      </c>
      <c r="I49" s="527">
        <f t="shared" si="3"/>
        <v>2688.47</v>
      </c>
      <c r="J49" s="527">
        <f t="shared" si="3"/>
        <v>2688.47</v>
      </c>
      <c r="K49" s="527">
        <f t="shared" si="3"/>
        <v>3095.81</v>
      </c>
      <c r="L49" s="534">
        <v>3258.75</v>
      </c>
      <c r="M49" s="541"/>
    </row>
    <row r="50" spans="1:13">
      <c r="A50" s="394" t="s">
        <v>19</v>
      </c>
      <c r="B50" s="298">
        <v>189214</v>
      </c>
      <c r="C50" s="299" t="s">
        <v>76</v>
      </c>
      <c r="D50" s="300">
        <v>287.39</v>
      </c>
      <c r="E50" s="301" t="s">
        <v>24</v>
      </c>
      <c r="F50" s="527">
        <f t="shared" si="3"/>
        <v>2607</v>
      </c>
      <c r="G50" s="527">
        <f t="shared" si="3"/>
        <v>2655.88</v>
      </c>
      <c r="H50" s="527">
        <f t="shared" si="3"/>
        <v>2766.55</v>
      </c>
      <c r="I50" s="527">
        <f t="shared" si="3"/>
        <v>2688.47</v>
      </c>
      <c r="J50" s="527">
        <f t="shared" si="3"/>
        <v>2688.47</v>
      </c>
      <c r="K50" s="527">
        <f t="shared" si="3"/>
        <v>3095.81</v>
      </c>
      <c r="L50" s="534">
        <v>3258.75</v>
      </c>
      <c r="M50" s="541"/>
    </row>
    <row r="51" spans="1:13">
      <c r="A51" s="394" t="s">
        <v>19</v>
      </c>
      <c r="B51" s="298">
        <v>189206</v>
      </c>
      <c r="C51" s="299" t="s">
        <v>77</v>
      </c>
      <c r="D51" s="300">
        <v>1.3</v>
      </c>
      <c r="E51" s="301" t="s">
        <v>35</v>
      </c>
      <c r="F51" s="527">
        <f t="shared" si="3"/>
        <v>102.22</v>
      </c>
      <c r="G51" s="527">
        <f t="shared" si="3"/>
        <v>104.13</v>
      </c>
      <c r="H51" s="527">
        <f t="shared" si="3"/>
        <v>108.47</v>
      </c>
      <c r="I51" s="527">
        <f t="shared" si="3"/>
        <v>105.41</v>
      </c>
      <c r="J51" s="527">
        <f t="shared" si="3"/>
        <v>105.41</v>
      </c>
      <c r="K51" s="527">
        <f t="shared" si="3"/>
        <v>121.38</v>
      </c>
      <c r="L51" s="534">
        <v>127.77</v>
      </c>
      <c r="M51" s="541"/>
    </row>
    <row r="52" spans="1:13">
      <c r="A52" s="394" t="s">
        <v>19</v>
      </c>
      <c r="B52" s="298">
        <v>189163</v>
      </c>
      <c r="C52" s="299" t="s">
        <v>78</v>
      </c>
      <c r="D52" s="300">
        <v>1.25</v>
      </c>
      <c r="E52" s="301" t="s">
        <v>35</v>
      </c>
      <c r="F52" s="527">
        <f t="shared" si="3"/>
        <v>122.42</v>
      </c>
      <c r="G52" s="527">
        <f t="shared" si="3"/>
        <v>124.71</v>
      </c>
      <c r="H52" s="527">
        <f t="shared" si="3"/>
        <v>129.91</v>
      </c>
      <c r="I52" s="527">
        <f t="shared" si="3"/>
        <v>126.24</v>
      </c>
      <c r="J52" s="527">
        <f t="shared" si="3"/>
        <v>126.24</v>
      </c>
      <c r="K52" s="527">
        <f t="shared" si="3"/>
        <v>145.37</v>
      </c>
      <c r="L52" s="534">
        <v>153.02000000000001</v>
      </c>
      <c r="M52" s="541"/>
    </row>
    <row r="53" spans="1:13">
      <c r="A53" s="394" t="s">
        <v>19</v>
      </c>
      <c r="B53" s="298">
        <v>189164</v>
      </c>
      <c r="C53" s="299" t="s">
        <v>79</v>
      </c>
      <c r="D53" s="300">
        <v>0.72</v>
      </c>
      <c r="E53" s="301" t="s">
        <v>35</v>
      </c>
      <c r="F53" s="527">
        <f t="shared" si="3"/>
        <v>43.05</v>
      </c>
      <c r="G53" s="527">
        <f t="shared" si="3"/>
        <v>43.86</v>
      </c>
      <c r="H53" s="527">
        <f t="shared" si="3"/>
        <v>45.68</v>
      </c>
      <c r="I53" s="527">
        <f t="shared" si="3"/>
        <v>44.39</v>
      </c>
      <c r="J53" s="527">
        <f t="shared" si="3"/>
        <v>44.39</v>
      </c>
      <c r="K53" s="527">
        <f t="shared" si="3"/>
        <v>51.12</v>
      </c>
      <c r="L53" s="534">
        <v>53.81</v>
      </c>
      <c r="M53" s="541"/>
    </row>
    <row r="54" spans="1:13">
      <c r="A54" s="394" t="s">
        <v>19</v>
      </c>
      <c r="B54" s="298">
        <v>189202</v>
      </c>
      <c r="C54" s="299" t="s">
        <v>80</v>
      </c>
      <c r="D54" s="300">
        <v>1.78</v>
      </c>
      <c r="E54" s="301" t="s">
        <v>35</v>
      </c>
      <c r="F54" s="527">
        <f t="shared" si="3"/>
        <v>158.30000000000001</v>
      </c>
      <c r="G54" s="527">
        <f t="shared" si="3"/>
        <v>161.26</v>
      </c>
      <c r="H54" s="527">
        <f t="shared" si="3"/>
        <v>167.98</v>
      </c>
      <c r="I54" s="527">
        <f t="shared" si="3"/>
        <v>163.24</v>
      </c>
      <c r="J54" s="527">
        <f t="shared" si="3"/>
        <v>163.24</v>
      </c>
      <c r="K54" s="527">
        <f t="shared" si="3"/>
        <v>187.98</v>
      </c>
      <c r="L54" s="534">
        <v>197.87</v>
      </c>
      <c r="M54" s="541"/>
    </row>
    <row r="55" spans="1:13">
      <c r="A55" s="394" t="s">
        <v>19</v>
      </c>
      <c r="B55" s="298">
        <v>189203</v>
      </c>
      <c r="C55" s="299" t="s">
        <v>81</v>
      </c>
      <c r="D55" s="300">
        <v>1</v>
      </c>
      <c r="E55" s="301" t="s">
        <v>35</v>
      </c>
      <c r="F55" s="527">
        <f t="shared" ref="F55:K59" si="4">ROUND($L55*(1-F$7),2)</f>
        <v>66.849999999999994</v>
      </c>
      <c r="G55" s="527">
        <f t="shared" si="4"/>
        <v>68.099999999999994</v>
      </c>
      <c r="H55" s="527">
        <f t="shared" si="4"/>
        <v>70.94</v>
      </c>
      <c r="I55" s="527">
        <f t="shared" si="4"/>
        <v>68.94</v>
      </c>
      <c r="J55" s="527">
        <f t="shared" si="4"/>
        <v>68.94</v>
      </c>
      <c r="K55" s="527">
        <f t="shared" si="4"/>
        <v>79.38</v>
      </c>
      <c r="L55" s="534">
        <v>83.56</v>
      </c>
      <c r="M55" s="541"/>
    </row>
    <row r="56" spans="1:13">
      <c r="A56" s="394" t="s">
        <v>19</v>
      </c>
      <c r="B56" s="298">
        <v>189165</v>
      </c>
      <c r="C56" s="299" t="s">
        <v>85</v>
      </c>
      <c r="D56" s="300">
        <v>0.41</v>
      </c>
      <c r="E56" s="301" t="s">
        <v>35</v>
      </c>
      <c r="F56" s="527">
        <f t="shared" si="4"/>
        <v>27.26</v>
      </c>
      <c r="G56" s="527">
        <f t="shared" si="4"/>
        <v>27.77</v>
      </c>
      <c r="H56" s="527">
        <f t="shared" si="4"/>
        <v>28.92</v>
      </c>
      <c r="I56" s="527">
        <f t="shared" si="4"/>
        <v>28.11</v>
      </c>
      <c r="J56" s="527">
        <f t="shared" si="4"/>
        <v>28.11</v>
      </c>
      <c r="K56" s="527">
        <f t="shared" si="4"/>
        <v>32.369999999999997</v>
      </c>
      <c r="L56" s="534">
        <v>34.07</v>
      </c>
      <c r="M56" s="541"/>
    </row>
    <row r="57" spans="1:13">
      <c r="A57" s="394" t="s">
        <v>19</v>
      </c>
      <c r="B57" s="298">
        <v>189166</v>
      </c>
      <c r="C57" s="299" t="s">
        <v>82</v>
      </c>
      <c r="D57" s="300">
        <v>0.8</v>
      </c>
      <c r="E57" s="301" t="s">
        <v>35</v>
      </c>
      <c r="F57" s="527">
        <f t="shared" si="4"/>
        <v>47.6</v>
      </c>
      <c r="G57" s="527">
        <f t="shared" si="4"/>
        <v>48.49</v>
      </c>
      <c r="H57" s="527">
        <f t="shared" si="4"/>
        <v>50.51</v>
      </c>
      <c r="I57" s="527">
        <f t="shared" si="4"/>
        <v>49.09</v>
      </c>
      <c r="J57" s="527">
        <f t="shared" si="4"/>
        <v>49.09</v>
      </c>
      <c r="K57" s="527">
        <f t="shared" si="4"/>
        <v>56.53</v>
      </c>
      <c r="L57" s="534">
        <v>59.5</v>
      </c>
      <c r="M57" s="541"/>
    </row>
    <row r="58" spans="1:13">
      <c r="A58" s="394" t="s">
        <v>19</v>
      </c>
      <c r="B58" s="298">
        <v>189167</v>
      </c>
      <c r="C58" s="299" t="s">
        <v>83</v>
      </c>
      <c r="D58" s="300">
        <v>0.71</v>
      </c>
      <c r="E58" s="301" t="s">
        <v>35</v>
      </c>
      <c r="F58" s="527">
        <f t="shared" si="4"/>
        <v>23.21</v>
      </c>
      <c r="G58" s="527">
        <f t="shared" si="4"/>
        <v>23.64</v>
      </c>
      <c r="H58" s="527">
        <f t="shared" si="4"/>
        <v>24.63</v>
      </c>
      <c r="I58" s="527">
        <f t="shared" si="4"/>
        <v>23.93</v>
      </c>
      <c r="J58" s="527">
        <f t="shared" si="4"/>
        <v>23.93</v>
      </c>
      <c r="K58" s="527">
        <f t="shared" si="4"/>
        <v>27.56</v>
      </c>
      <c r="L58" s="534">
        <v>29.01</v>
      </c>
      <c r="M58" s="541"/>
    </row>
    <row r="59" spans="1:13" ht="15" thickBot="1">
      <c r="A59" s="394" t="s">
        <v>19</v>
      </c>
      <c r="B59" s="298">
        <v>189207</v>
      </c>
      <c r="C59" s="299" t="s">
        <v>84</v>
      </c>
      <c r="D59" s="300">
        <v>0.41</v>
      </c>
      <c r="E59" s="301" t="s">
        <v>35</v>
      </c>
      <c r="F59" s="527">
        <f t="shared" si="4"/>
        <v>32.26</v>
      </c>
      <c r="G59" s="527">
        <f t="shared" si="4"/>
        <v>32.869999999999997</v>
      </c>
      <c r="H59" s="527">
        <f t="shared" si="4"/>
        <v>34.24</v>
      </c>
      <c r="I59" s="527">
        <f t="shared" si="4"/>
        <v>33.270000000000003</v>
      </c>
      <c r="J59" s="527">
        <f t="shared" si="4"/>
        <v>33.270000000000003</v>
      </c>
      <c r="K59" s="527">
        <f t="shared" si="4"/>
        <v>38.31</v>
      </c>
      <c r="L59" s="534">
        <v>40.33</v>
      </c>
      <c r="M59" s="541"/>
    </row>
    <row r="60" spans="1:13" ht="15" thickBot="1">
      <c r="A60" s="397" t="s">
        <v>86</v>
      </c>
      <c r="B60" s="387"/>
      <c r="C60" s="388"/>
      <c r="D60" s="388"/>
      <c r="E60" s="389"/>
      <c r="F60" s="388"/>
      <c r="G60" s="388"/>
      <c r="H60" s="388"/>
      <c r="I60" s="388"/>
      <c r="J60" s="388"/>
      <c r="K60" s="388"/>
      <c r="L60" s="388"/>
      <c r="M60" s="541"/>
    </row>
    <row r="61" spans="1:13">
      <c r="A61" s="392" t="s">
        <v>19</v>
      </c>
      <c r="B61" s="294">
        <v>270434</v>
      </c>
      <c r="C61" s="295" t="s">
        <v>87</v>
      </c>
      <c r="D61" s="296">
        <v>51.62</v>
      </c>
      <c r="E61" s="297" t="s">
        <v>88</v>
      </c>
      <c r="F61" s="532">
        <f t="shared" ref="F61:K70" si="5">ROUND($L61*(1-F$7),2)</f>
        <v>243.54</v>
      </c>
      <c r="G61" s="532">
        <f t="shared" si="5"/>
        <v>248.11</v>
      </c>
      <c r="H61" s="527">
        <f t="shared" si="5"/>
        <v>258.45</v>
      </c>
      <c r="I61" s="532">
        <f t="shared" si="5"/>
        <v>251.15</v>
      </c>
      <c r="J61" s="532">
        <f t="shared" si="5"/>
        <v>251.15</v>
      </c>
      <c r="K61" s="532">
        <f t="shared" si="5"/>
        <v>289.20999999999998</v>
      </c>
      <c r="L61" s="536">
        <v>304.43</v>
      </c>
      <c r="M61" s="541"/>
    </row>
    <row r="62" spans="1:13">
      <c r="A62" s="394" t="s">
        <v>19</v>
      </c>
      <c r="B62" s="298">
        <v>270435</v>
      </c>
      <c r="C62" s="299" t="s">
        <v>89</v>
      </c>
      <c r="D62" s="300">
        <v>58.56</v>
      </c>
      <c r="E62" s="301" t="s">
        <v>88</v>
      </c>
      <c r="F62" s="527">
        <f t="shared" si="5"/>
        <v>276.02</v>
      </c>
      <c r="G62" s="527">
        <f t="shared" si="5"/>
        <v>281.19</v>
      </c>
      <c r="H62" s="527">
        <f t="shared" si="5"/>
        <v>292.91000000000003</v>
      </c>
      <c r="I62" s="527">
        <f t="shared" si="5"/>
        <v>284.64</v>
      </c>
      <c r="J62" s="527">
        <f t="shared" si="5"/>
        <v>284.64</v>
      </c>
      <c r="K62" s="527">
        <f t="shared" si="5"/>
        <v>327.77</v>
      </c>
      <c r="L62" s="534">
        <v>345.02</v>
      </c>
      <c r="M62" s="541"/>
    </row>
    <row r="63" spans="1:13">
      <c r="A63" s="394" t="s">
        <v>19</v>
      </c>
      <c r="B63" s="298">
        <v>270436</v>
      </c>
      <c r="C63" s="299" t="s">
        <v>90</v>
      </c>
      <c r="D63" s="300">
        <v>70.319999999999993</v>
      </c>
      <c r="E63" s="301" t="s">
        <v>88</v>
      </c>
      <c r="F63" s="527">
        <f t="shared" si="5"/>
        <v>324.72000000000003</v>
      </c>
      <c r="G63" s="527">
        <f t="shared" si="5"/>
        <v>330.81</v>
      </c>
      <c r="H63" s="527">
        <f t="shared" si="5"/>
        <v>344.59</v>
      </c>
      <c r="I63" s="527">
        <f t="shared" si="5"/>
        <v>334.87</v>
      </c>
      <c r="J63" s="527">
        <f t="shared" si="5"/>
        <v>334.87</v>
      </c>
      <c r="K63" s="527">
        <f t="shared" si="5"/>
        <v>385.61</v>
      </c>
      <c r="L63" s="534">
        <v>405.9</v>
      </c>
      <c r="M63" s="541"/>
    </row>
    <row r="64" spans="1:13">
      <c r="A64" s="394" t="s">
        <v>19</v>
      </c>
      <c r="B64" s="298">
        <v>270437</v>
      </c>
      <c r="C64" s="299" t="s">
        <v>91</v>
      </c>
      <c r="D64" s="300">
        <v>13.79</v>
      </c>
      <c r="E64" s="301" t="s">
        <v>88</v>
      </c>
      <c r="F64" s="527">
        <f t="shared" si="5"/>
        <v>114.88</v>
      </c>
      <c r="G64" s="527">
        <f t="shared" si="5"/>
        <v>117.03</v>
      </c>
      <c r="H64" s="527">
        <f t="shared" si="5"/>
        <v>121.91</v>
      </c>
      <c r="I64" s="527">
        <f t="shared" si="5"/>
        <v>118.47</v>
      </c>
      <c r="J64" s="527">
        <f t="shared" si="5"/>
        <v>118.47</v>
      </c>
      <c r="K64" s="527">
        <f t="shared" si="5"/>
        <v>136.41999999999999</v>
      </c>
      <c r="L64" s="534">
        <v>143.6</v>
      </c>
      <c r="M64" s="541"/>
    </row>
    <row r="65" spans="1:13">
      <c r="A65" s="394" t="s">
        <v>19</v>
      </c>
      <c r="B65" s="298">
        <v>270438</v>
      </c>
      <c r="C65" s="299" t="s">
        <v>92</v>
      </c>
      <c r="D65" s="300">
        <v>14.85</v>
      </c>
      <c r="E65" s="301" t="s">
        <v>88</v>
      </c>
      <c r="F65" s="527">
        <f t="shared" si="5"/>
        <v>134.16999999999999</v>
      </c>
      <c r="G65" s="527">
        <f t="shared" si="5"/>
        <v>136.68</v>
      </c>
      <c r="H65" s="527">
        <f t="shared" si="5"/>
        <v>142.38</v>
      </c>
      <c r="I65" s="527">
        <f t="shared" si="5"/>
        <v>138.36000000000001</v>
      </c>
      <c r="J65" s="527">
        <f t="shared" si="5"/>
        <v>138.36000000000001</v>
      </c>
      <c r="K65" s="527">
        <f t="shared" si="5"/>
        <v>159.32</v>
      </c>
      <c r="L65" s="534">
        <v>167.71</v>
      </c>
      <c r="M65" s="541"/>
    </row>
    <row r="66" spans="1:13">
      <c r="A66" s="394" t="s">
        <v>19</v>
      </c>
      <c r="B66" s="298">
        <v>270439</v>
      </c>
      <c r="C66" s="299" t="s">
        <v>93</v>
      </c>
      <c r="D66" s="300">
        <v>18.399999999999999</v>
      </c>
      <c r="E66" s="301" t="s">
        <v>88</v>
      </c>
      <c r="F66" s="527">
        <f t="shared" si="5"/>
        <v>82.8</v>
      </c>
      <c r="G66" s="527">
        <f t="shared" si="5"/>
        <v>84.35</v>
      </c>
      <c r="H66" s="527">
        <f t="shared" si="5"/>
        <v>87.87</v>
      </c>
      <c r="I66" s="527">
        <f t="shared" si="5"/>
        <v>85.39</v>
      </c>
      <c r="J66" s="527">
        <f t="shared" si="5"/>
        <v>85.39</v>
      </c>
      <c r="K66" s="527">
        <f t="shared" si="5"/>
        <v>98.33</v>
      </c>
      <c r="L66" s="534">
        <v>103.5</v>
      </c>
      <c r="M66" s="541"/>
    </row>
    <row r="67" spans="1:13">
      <c r="A67" s="394" t="s">
        <v>19</v>
      </c>
      <c r="B67" s="298">
        <v>270440</v>
      </c>
      <c r="C67" s="299" t="s">
        <v>94</v>
      </c>
      <c r="D67" s="300">
        <v>0.09</v>
      </c>
      <c r="E67" s="301" t="s">
        <v>95</v>
      </c>
      <c r="F67" s="527">
        <f t="shared" si="5"/>
        <v>1.94</v>
      </c>
      <c r="G67" s="527">
        <f t="shared" si="5"/>
        <v>1.97</v>
      </c>
      <c r="H67" s="527">
        <f t="shared" si="5"/>
        <v>2.0499999999999998</v>
      </c>
      <c r="I67" s="527">
        <f t="shared" si="5"/>
        <v>2</v>
      </c>
      <c r="J67" s="527">
        <f t="shared" si="5"/>
        <v>2</v>
      </c>
      <c r="K67" s="527">
        <f t="shared" si="5"/>
        <v>2.2999999999999998</v>
      </c>
      <c r="L67" s="534">
        <v>2.42</v>
      </c>
      <c r="M67" s="541"/>
    </row>
    <row r="68" spans="1:13">
      <c r="A68" s="394" t="s">
        <v>19</v>
      </c>
      <c r="B68" s="298">
        <v>645392</v>
      </c>
      <c r="C68" s="299" t="s">
        <v>96</v>
      </c>
      <c r="D68" s="300">
        <v>0.04</v>
      </c>
      <c r="E68" s="301" t="s">
        <v>88</v>
      </c>
      <c r="F68" s="527">
        <f t="shared" si="5"/>
        <v>1.82</v>
      </c>
      <c r="G68" s="527">
        <f t="shared" si="5"/>
        <v>1.86</v>
      </c>
      <c r="H68" s="527">
        <f t="shared" si="5"/>
        <v>1.94</v>
      </c>
      <c r="I68" s="527">
        <f t="shared" si="5"/>
        <v>1.88</v>
      </c>
      <c r="J68" s="527">
        <f t="shared" si="5"/>
        <v>1.88</v>
      </c>
      <c r="K68" s="527">
        <f t="shared" si="5"/>
        <v>2.17</v>
      </c>
      <c r="L68" s="534">
        <v>2.2799999999999998</v>
      </c>
      <c r="M68" s="541"/>
    </row>
    <row r="69" spans="1:13">
      <c r="A69" s="394" t="s">
        <v>19</v>
      </c>
      <c r="B69" s="298">
        <v>645393</v>
      </c>
      <c r="C69" s="299" t="s">
        <v>60</v>
      </c>
      <c r="D69" s="300">
        <v>0.04</v>
      </c>
      <c r="E69" s="301" t="s">
        <v>35</v>
      </c>
      <c r="F69" s="527">
        <f t="shared" si="5"/>
        <v>0.93</v>
      </c>
      <c r="G69" s="527">
        <f t="shared" si="5"/>
        <v>0.95</v>
      </c>
      <c r="H69" s="527">
        <f t="shared" si="5"/>
        <v>0.98</v>
      </c>
      <c r="I69" s="527">
        <f t="shared" si="5"/>
        <v>0.96</v>
      </c>
      <c r="J69" s="527">
        <f t="shared" si="5"/>
        <v>0.96</v>
      </c>
      <c r="K69" s="527">
        <f t="shared" si="5"/>
        <v>1.1000000000000001</v>
      </c>
      <c r="L69" s="534">
        <v>1.1599999999999999</v>
      </c>
      <c r="M69" s="541"/>
    </row>
    <row r="70" spans="1:13">
      <c r="A70" s="394" t="s">
        <v>19</v>
      </c>
      <c r="B70" s="298">
        <v>270504</v>
      </c>
      <c r="C70" s="299" t="s">
        <v>39</v>
      </c>
      <c r="D70" s="300">
        <v>6.0000000000000001E-3</v>
      </c>
      <c r="E70" s="301" t="s">
        <v>35</v>
      </c>
      <c r="F70" s="527">
        <f t="shared" si="5"/>
        <v>2</v>
      </c>
      <c r="G70" s="527">
        <f t="shared" si="5"/>
        <v>2.04</v>
      </c>
      <c r="H70" s="527">
        <f t="shared" si="5"/>
        <v>2.12</v>
      </c>
      <c r="I70" s="527">
        <f t="shared" si="5"/>
        <v>2.06</v>
      </c>
      <c r="J70" s="527">
        <f t="shared" si="5"/>
        <v>2.06</v>
      </c>
      <c r="K70" s="527">
        <f t="shared" si="5"/>
        <v>2.38</v>
      </c>
      <c r="L70" s="534">
        <v>2.5</v>
      </c>
      <c r="M70" s="541"/>
    </row>
    <row r="71" spans="1:13" ht="15" thickBot="1">
      <c r="A71" s="408"/>
      <c r="B71" s="409"/>
      <c r="C71" s="409"/>
      <c r="D71" s="409"/>
      <c r="E71" s="410"/>
      <c r="F71" s="409"/>
      <c r="G71" s="409"/>
      <c r="H71" s="409"/>
      <c r="I71" s="409"/>
      <c r="J71" s="409"/>
      <c r="K71" s="409"/>
      <c r="L71" s="537"/>
      <c r="M71" s="541"/>
    </row>
    <row r="72" spans="1:13" ht="15" thickBot="1">
      <c r="A72" s="397" t="s">
        <v>379</v>
      </c>
      <c r="B72" s="413"/>
      <c r="C72" s="388"/>
      <c r="D72" s="388"/>
      <c r="E72" s="389"/>
      <c r="F72" s="388"/>
      <c r="G72" s="388"/>
      <c r="H72" s="388"/>
      <c r="I72" s="388"/>
      <c r="J72" s="388"/>
      <c r="K72" s="388"/>
      <c r="L72" s="388"/>
      <c r="M72" s="541"/>
    </row>
    <row r="73" spans="1:13" ht="15" thickBot="1">
      <c r="A73" s="414"/>
      <c r="B73" s="415" t="s">
        <v>1</v>
      </c>
      <c r="C73" s="416" t="s">
        <v>2</v>
      </c>
      <c r="D73" s="417" t="s">
        <v>3</v>
      </c>
      <c r="E73" s="418" t="s">
        <v>380</v>
      </c>
      <c r="F73" s="514" t="s">
        <v>5</v>
      </c>
      <c r="G73" s="515" t="s">
        <v>381</v>
      </c>
      <c r="H73" s="515" t="s">
        <v>9</v>
      </c>
      <c r="I73" s="516" t="s">
        <v>7</v>
      </c>
      <c r="J73" s="517" t="s">
        <v>8</v>
      </c>
      <c r="K73" s="518" t="s">
        <v>10</v>
      </c>
      <c r="L73" s="538" t="s">
        <v>382</v>
      </c>
      <c r="M73" s="541"/>
    </row>
    <row r="74" spans="1:13" ht="15" thickBot="1">
      <c r="A74" s="425" t="s">
        <v>19</v>
      </c>
      <c r="B74" s="426">
        <v>194715</v>
      </c>
      <c r="C74" s="427" t="s">
        <v>383</v>
      </c>
      <c r="D74" s="428">
        <v>66.319999999999993</v>
      </c>
      <c r="E74" s="429" t="s">
        <v>384</v>
      </c>
      <c r="F74" s="533">
        <f>$L$74-($L$74*F7)</f>
        <v>152.55199999999999</v>
      </c>
      <c r="G74" s="533">
        <f>$L$74-($L$74*G7)</f>
        <v>155.41235</v>
      </c>
      <c r="H74" s="533">
        <f>G74/0.96</f>
        <v>161.88786458333334</v>
      </c>
      <c r="I74" s="533">
        <f>$L$74-($L$74*I7)</f>
        <v>157.31925000000001</v>
      </c>
      <c r="J74" s="533">
        <f>$L$74-($L$74*J7)</f>
        <v>157.31925000000001</v>
      </c>
      <c r="K74" s="533">
        <f>$L$74-($L$74*K7)</f>
        <v>181.15549999999999</v>
      </c>
      <c r="L74" s="539">
        <v>190.69</v>
      </c>
      <c r="M74" s="541"/>
    </row>
  </sheetData>
  <mergeCells count="1">
    <mergeCell ref="A5:L5"/>
  </mergeCells>
  <pageMargins left="0.39370078740157483" right="0.31496062992125984" top="0.43307086614173229" bottom="0.74803149606299213" header="0.31496062992125984" footer="0.31496062992125984"/>
  <pageSetup paperSize="9" scale="55" fitToHeight="2" orientation="portrait" r:id="rId1"/>
  <rowBreaks count="1" manualBreakCount="1">
    <brk id="37" max="15" man="1"/>
  </rowBreaks>
</worksheet>
</file>

<file path=docMetadata/LabelInfo.xml><?xml version="1.0" encoding="utf-8"?>
<clbl:labelList xmlns:clbl="http://schemas.microsoft.com/office/2020/mipLabelMetadata">
  <clbl:label id="{d9e53fd4-13d7-4ca7-a602-14173f4df0c8}" enabled="0" method="" siteId="{d9e53fd4-13d7-4ca7-a602-14173f4df0c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10</vt:i4>
      </vt:variant>
    </vt:vector>
  </HeadingPairs>
  <TitlesOfParts>
    <vt:vector size="24" baseType="lpstr">
      <vt:lpstr>DATOS PARTIDA</vt:lpstr>
      <vt:lpstr>DATOS (1)</vt:lpstr>
      <vt:lpstr>MENU PRINCIPAL</vt:lpstr>
      <vt:lpstr>Ingreso</vt:lpstr>
      <vt:lpstr>Calculo</vt:lpstr>
      <vt:lpstr>Ingresar</vt:lpstr>
      <vt:lpstr>Calcular</vt:lpstr>
      <vt:lpstr>Salida</vt:lpstr>
      <vt:lpstr>Salidar</vt:lpstr>
      <vt:lpstr>Lineal</vt:lpstr>
      <vt:lpstr>Cubicador</vt:lpstr>
      <vt:lpstr>Lineal 2</vt:lpstr>
      <vt:lpstr>CP_2026</vt:lpstr>
      <vt:lpstr>CERCAPRO Marzo9</vt:lpstr>
      <vt:lpstr>'CERCAPRO Marzo9'!Área_de_impresión</vt:lpstr>
      <vt:lpstr>CP_2026!Área_de_impresión</vt:lpstr>
      <vt:lpstr>Cubicador!Área_de_impresión</vt:lpstr>
      <vt:lpstr>Lineal!Área_de_impresión</vt:lpstr>
      <vt:lpstr>'Lineal 2'!Área_de_impresión</vt:lpstr>
      <vt:lpstr>'MENU PRINCIPAL'!Área_de_impresión</vt:lpstr>
      <vt:lpstr>Salida!Área_de_impresión</vt:lpstr>
      <vt:lpstr>Salidar!Área_de_impresión</vt:lpstr>
      <vt:lpstr>'CERCAPRO Marzo9'!Títulos_a_imprimir</vt:lpstr>
      <vt:lpstr>CP_2026!Títulos_a_imprimir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carlos.reyes</dc:creator>
  <cp:lastModifiedBy>Oscar Cedeno (Grupo AG)</cp:lastModifiedBy>
  <cp:lastPrinted>2024-03-28T05:38:05Z</cp:lastPrinted>
  <dcterms:created xsi:type="dcterms:W3CDTF">2015-06-05T18:19:34Z</dcterms:created>
  <dcterms:modified xsi:type="dcterms:W3CDTF">2026-09-21T19:26:47Z</dcterms:modified>
</cp:coreProperties>
</file>